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4. EMPALME\PLAN DE ACCION AÑO 2025\INICIAL 2025\PLAN DE ACCION  1ER TRIMESTRE 2025\PAC SEPTIEMBRE 2025\"/>
    </mc:Choice>
  </mc:AlternateContent>
  <xr:revisionPtr revIDLastSave="0" documentId="8_{393C019D-82D2-43A4-81C3-7F56F9020646}" xr6:coauthVersionLast="36" xr6:coauthVersionMax="36" xr10:uidLastSave="{00000000-0000-0000-0000-000000000000}"/>
  <bookViews>
    <workbookView xWindow="-108" yWindow="-108" windowWidth="19416" windowHeight="10296" tabRatio="757" xr2:uid="{00000000-000D-0000-FFFF-FFFF00000000}"/>
  </bookViews>
  <sheets>
    <sheet name="1. ESTRATEGICO SEPTIEMBRE  2025" sheetId="12" r:id="rId1"/>
    <sheet name="Hoja1" sheetId="13" r:id="rId2"/>
    <sheet name="2. GESTIÓN-MIPG" sheetId="5" state="hidden" r:id="rId3"/>
    <sheet name="3.INVERSIÓN" sheetId="11" state="hidden" r:id="rId4"/>
    <sheet name="CONTROL DE CAMBIOS " sheetId="3" state="hidden" r:id="rId5"/>
  </sheets>
  <externalReferences>
    <externalReference r:id="rId6"/>
  </externalReferences>
  <definedNames>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3" i="12" l="1"/>
  <c r="U35" i="12" l="1"/>
  <c r="W35" i="12"/>
  <c r="W23" i="12"/>
  <c r="U23" i="12"/>
  <c r="T35" i="12" l="1"/>
  <c r="H15" i="13"/>
  <c r="T32" i="12"/>
  <c r="T12" i="12" l="1"/>
  <c r="T17" i="12"/>
  <c r="T18" i="12"/>
  <c r="T14" i="12" l="1"/>
  <c r="T27" i="12"/>
  <c r="T29" i="12" l="1"/>
  <c r="T30" i="12"/>
  <c r="Z12" i="12" l="1"/>
  <c r="Z33" i="12"/>
  <c r="Y35" i="12"/>
  <c r="Y30" i="12"/>
  <c r="Y22" i="12"/>
  <c r="Y24" i="12"/>
  <c r="Y25" i="12"/>
  <c r="W30" i="12"/>
  <c r="T15" i="12"/>
  <c r="AF43" i="12" l="1"/>
  <c r="T11" i="12"/>
  <c r="U11" i="12" s="1"/>
  <c r="U9" i="12"/>
  <c r="AG9" i="12" l="1"/>
  <c r="T10" i="12" l="1"/>
  <c r="T24" i="12" l="1"/>
  <c r="T20" i="12" l="1"/>
  <c r="U34" i="12" l="1"/>
  <c r="AG40" i="12" l="1"/>
  <c r="AG37" i="12"/>
  <c r="AG32" i="12"/>
  <c r="AG30" i="12"/>
  <c r="AG29" i="12"/>
  <c r="AG27" i="12"/>
  <c r="AG20" i="12"/>
  <c r="AG23" i="12"/>
  <c r="AG17" i="12"/>
  <c r="AG14" i="12"/>
  <c r="U33" i="12" l="1"/>
  <c r="T40" i="12" l="1"/>
  <c r="T37" i="12"/>
  <c r="U37" i="12" s="1"/>
  <c r="Y37" i="12" s="1"/>
  <c r="U10" i="12"/>
  <c r="U17" i="12"/>
  <c r="W22" i="12"/>
  <c r="W25" i="12"/>
  <c r="W24" i="12"/>
  <c r="X22" i="12"/>
  <c r="T21" i="12"/>
  <c r="U21" i="12" s="1"/>
  <c r="T22" i="12"/>
  <c r="U22" i="12" s="1"/>
  <c r="U20" i="12"/>
  <c r="AF44" i="12"/>
  <c r="AE44" i="12"/>
  <c r="AD44" i="12"/>
  <c r="AE43" i="12"/>
  <c r="AG43" i="12" s="1"/>
  <c r="AD43" i="12"/>
  <c r="U40" i="12"/>
  <c r="Y40" i="12" s="1"/>
  <c r="Y41" i="12" s="1"/>
  <c r="U38" i="12"/>
  <c r="W38" i="12" s="1"/>
  <c r="AC33" i="12"/>
  <c r="AB33" i="12"/>
  <c r="V33" i="12"/>
  <c r="R33" i="12"/>
  <c r="Y33" i="12" s="1"/>
  <c r="Q33" i="12"/>
  <c r="U32" i="12"/>
  <c r="U30" i="12"/>
  <c r="U29" i="12"/>
  <c r="U27" i="12"/>
  <c r="V25" i="12"/>
  <c r="Z25" i="12" s="1"/>
  <c r="U24" i="12"/>
  <c r="X23" i="12"/>
  <c r="Z22" i="12"/>
  <c r="Z21" i="12"/>
  <c r="X21" i="12"/>
  <c r="U18" i="12"/>
  <c r="U15" i="12"/>
  <c r="U14" i="12"/>
  <c r="W14" i="12" s="1"/>
  <c r="U12" i="12"/>
  <c r="Y11" i="12"/>
  <c r="W11" i="12"/>
  <c r="V11" i="12"/>
  <c r="Y9" i="12"/>
  <c r="W9" i="12"/>
  <c r="V9" i="12"/>
  <c r="X9" i="12" s="1"/>
  <c r="W10" i="12" l="1"/>
  <c r="V10" i="12"/>
  <c r="Y10" i="12"/>
  <c r="W33" i="12"/>
  <c r="Z9" i="12"/>
  <c r="AG44" i="12"/>
  <c r="Z10" i="12"/>
  <c r="Y21" i="12"/>
  <c r="W21" i="12"/>
  <c r="V30" i="12"/>
  <c r="X30" i="12" s="1"/>
  <c r="V12" i="12"/>
  <c r="X12" i="12" s="1"/>
  <c r="Y12" i="12"/>
  <c r="Y13" i="12" s="1"/>
  <c r="W12" i="12"/>
  <c r="W13" i="12" s="1"/>
  <c r="Y20" i="12"/>
  <c r="W20" i="12"/>
  <c r="V20" i="12"/>
  <c r="Z20" i="12" s="1"/>
  <c r="Z23" i="12"/>
  <c r="X25" i="12"/>
  <c r="Y15" i="12"/>
  <c r="W15" i="12"/>
  <c r="V15" i="12"/>
  <c r="W27" i="12"/>
  <c r="W28" i="12" s="1"/>
  <c r="V27" i="12"/>
  <c r="Y27" i="12"/>
  <c r="Y28" i="12" s="1"/>
  <c r="Y29" i="12"/>
  <c r="W29" i="12"/>
  <c r="V29" i="12"/>
  <c r="Y17" i="12"/>
  <c r="W17" i="12"/>
  <c r="V17" i="12"/>
  <c r="Y18" i="12"/>
  <c r="W18" i="12"/>
  <c r="V18" i="12"/>
  <c r="V24" i="12"/>
  <c r="Y34" i="12"/>
  <c r="V34" i="12"/>
  <c r="W34" i="12"/>
  <c r="Z11" i="12"/>
  <c r="X11" i="12"/>
  <c r="Y14" i="12"/>
  <c r="V14" i="12"/>
  <c r="W32" i="12"/>
  <c r="Y32" i="12"/>
  <c r="V32" i="12"/>
  <c r="V35" i="12"/>
  <c r="V38" i="12"/>
  <c r="X33" i="12"/>
  <c r="V37" i="12"/>
  <c r="V40" i="12"/>
  <c r="X10" i="12"/>
  <c r="W37" i="12"/>
  <c r="W39" i="12" s="1"/>
  <c r="Y38" i="12"/>
  <c r="Y39" i="12" s="1"/>
  <c r="W40" i="12"/>
  <c r="W41" i="12" s="1"/>
  <c r="X20" i="12" l="1"/>
  <c r="W26" i="12"/>
  <c r="Y26" i="12"/>
  <c r="Z13" i="12"/>
  <c r="Z30" i="12"/>
  <c r="W31" i="12"/>
  <c r="Y31" i="12"/>
  <c r="Y19" i="12"/>
  <c r="X13" i="12"/>
  <c r="W19" i="12"/>
  <c r="X37" i="12"/>
  <c r="Z37" i="12"/>
  <c r="X27" i="12"/>
  <c r="X28" i="12" s="1"/>
  <c r="Z27" i="12"/>
  <c r="Z28" i="12" s="1"/>
  <c r="Z32" i="12"/>
  <c r="X32" i="12"/>
  <c r="Y36" i="12"/>
  <c r="Z15" i="12"/>
  <c r="X15" i="12"/>
  <c r="W36" i="12"/>
  <c r="Z34" i="12"/>
  <c r="X34" i="12"/>
  <c r="Z18" i="12"/>
  <c r="X18" i="12"/>
  <c r="Z29" i="12"/>
  <c r="X29" i="12"/>
  <c r="X31" i="12" s="1"/>
  <c r="Z38" i="12"/>
  <c r="X38" i="12"/>
  <c r="X14" i="12"/>
  <c r="Z14" i="12"/>
  <c r="Z35" i="12"/>
  <c r="X35" i="12"/>
  <c r="W16" i="12"/>
  <c r="X40" i="12"/>
  <c r="X41" i="12" s="1"/>
  <c r="Z40" i="12"/>
  <c r="Z41" i="12" s="1"/>
  <c r="Y16" i="12"/>
  <c r="X24" i="12"/>
  <c r="X26" i="12" s="1"/>
  <c r="Z24" i="12"/>
  <c r="Z26" i="12" s="1"/>
  <c r="Z17" i="12"/>
  <c r="Z19" i="12" s="1"/>
  <c r="X17" i="12"/>
  <c r="Z31" i="12" l="1"/>
  <c r="Z16" i="12"/>
  <c r="X16" i="12"/>
  <c r="X19" i="12"/>
  <c r="X36" i="12"/>
  <c r="Y42" i="12"/>
  <c r="Z36" i="12"/>
  <c r="Z39" i="12"/>
  <c r="X39" i="12"/>
  <c r="W42" i="12"/>
  <c r="Z42" i="12" l="1"/>
  <c r="X42" i="12"/>
  <c r="AT143" i="11" l="1"/>
  <c r="AS143" i="11"/>
  <c r="AR143" i="11"/>
  <c r="AQ143" i="11"/>
  <c r="AP143" i="11"/>
  <c r="R143" i="11"/>
  <c r="U142" i="11"/>
  <c r="U141" i="11"/>
  <c r="AT140" i="11"/>
  <c r="AS140" i="11"/>
  <c r="AR140" i="11"/>
  <c r="AQ140" i="11"/>
  <c r="AP140" i="11"/>
  <c r="R140" i="11"/>
  <c r="U139" i="11"/>
  <c r="V138" i="11"/>
  <c r="U138" i="11"/>
  <c r="V137" i="11"/>
  <c r="U137" i="11"/>
  <c r="AT136" i="11"/>
  <c r="AS136" i="11"/>
  <c r="AR136" i="11"/>
  <c r="AQ136" i="11"/>
  <c r="AP136" i="11"/>
  <c r="V135" i="11"/>
  <c r="U135" i="11"/>
  <c r="P135" i="11"/>
  <c r="J135" i="11"/>
  <c r="U134" i="11"/>
  <c r="J134" i="11"/>
  <c r="U133" i="11"/>
  <c r="J133" i="11"/>
  <c r="U132" i="11"/>
  <c r="AV131" i="11"/>
  <c r="AV136" i="11" s="1"/>
  <c r="AU131" i="11"/>
  <c r="AU136" i="11" s="1"/>
  <c r="U131" i="11"/>
  <c r="AT130" i="11"/>
  <c r="AS130" i="11"/>
  <c r="AR130" i="11"/>
  <c r="AQ130" i="11"/>
  <c r="AP130" i="11"/>
  <c r="U129" i="11"/>
  <c r="U128" i="11"/>
  <c r="U127" i="11"/>
  <c r="U126" i="11"/>
  <c r="U125" i="11"/>
  <c r="U124" i="11"/>
  <c r="U123" i="11"/>
  <c r="U122" i="11"/>
  <c r="U121" i="11"/>
  <c r="U120" i="11"/>
  <c r="U119" i="11"/>
  <c r="U118" i="11"/>
  <c r="U117" i="11"/>
  <c r="U116" i="11"/>
  <c r="R116" i="11"/>
  <c r="AT115" i="11"/>
  <c r="AS115" i="11"/>
  <c r="AR115" i="11"/>
  <c r="AQ115" i="11"/>
  <c r="AP115" i="11"/>
  <c r="U114" i="11"/>
  <c r="U113" i="11"/>
  <c r="U112" i="11"/>
  <c r="U111" i="11"/>
  <c r="U110" i="11"/>
  <c r="U109" i="11"/>
  <c r="U108" i="11"/>
  <c r="U107" i="11"/>
  <c r="U106" i="11"/>
  <c r="U105" i="11"/>
  <c r="U104" i="11"/>
  <c r="U103" i="11"/>
  <c r="U102" i="11"/>
  <c r="U101" i="11"/>
  <c r="U100" i="11"/>
  <c r="U99" i="11"/>
  <c r="AT98" i="11"/>
  <c r="AS98" i="11"/>
  <c r="AR98" i="11"/>
  <c r="AQ98" i="11"/>
  <c r="AP98" i="11"/>
  <c r="U97" i="11"/>
  <c r="P97" i="11"/>
  <c r="U96" i="11"/>
  <c r="U95" i="11"/>
  <c r="U94" i="11"/>
  <c r="U93" i="11"/>
  <c r="U92" i="11"/>
  <c r="U91" i="11"/>
  <c r="U90" i="11"/>
  <c r="U89" i="11"/>
  <c r="U88" i="11"/>
  <c r="U87" i="11"/>
  <c r="U86" i="11"/>
  <c r="AT85" i="11"/>
  <c r="AS85" i="11"/>
  <c r="AR85" i="11"/>
  <c r="AQ85" i="11"/>
  <c r="AP85" i="11"/>
  <c r="U84" i="11"/>
  <c r="R84" i="11"/>
  <c r="U83" i="11"/>
  <c r="R83" i="11"/>
  <c r="U82" i="11"/>
  <c r="R82" i="11"/>
  <c r="U81" i="11"/>
  <c r="R81" i="11"/>
  <c r="U80" i="11"/>
  <c r="R80" i="11"/>
  <c r="U79" i="11"/>
  <c r="R79" i="11"/>
  <c r="U78" i="11"/>
  <c r="R78" i="11"/>
  <c r="U77" i="11"/>
  <c r="R77" i="11"/>
  <c r="U76" i="11"/>
  <c r="U75" i="11"/>
  <c r="U74" i="11"/>
  <c r="AT73" i="11"/>
  <c r="AS73" i="11"/>
  <c r="AR73" i="11"/>
  <c r="AQ73" i="11"/>
  <c r="AP73" i="11"/>
  <c r="U72" i="11"/>
  <c r="U71" i="11"/>
  <c r="U70" i="11"/>
  <c r="U69" i="11"/>
  <c r="U68" i="11"/>
  <c r="U67" i="11"/>
  <c r="U66" i="11"/>
  <c r="U65" i="11"/>
  <c r="U64" i="11"/>
  <c r="R64" i="11"/>
  <c r="U63" i="11"/>
  <c r="R63" i="11"/>
  <c r="U62" i="11"/>
  <c r="U61" i="11"/>
  <c r="R61" i="11"/>
  <c r="AT60" i="11"/>
  <c r="AS60" i="11"/>
  <c r="AR60" i="11"/>
  <c r="AQ60" i="11"/>
  <c r="AP60" i="11"/>
  <c r="U59" i="11"/>
  <c r="U58" i="11"/>
  <c r="R58" i="11"/>
  <c r="U57" i="11"/>
  <c r="R57" i="11"/>
  <c r="U56" i="11"/>
  <c r="R56" i="11"/>
  <c r="U55" i="11"/>
  <c r="R55" i="11"/>
  <c r="U54" i="11"/>
  <c r="R54" i="11"/>
  <c r="U53" i="11"/>
  <c r="R53" i="11"/>
  <c r="U52" i="11"/>
  <c r="R52" i="11"/>
  <c r="U51" i="11"/>
  <c r="R51" i="11"/>
  <c r="U50" i="11"/>
  <c r="R50" i="11"/>
  <c r="U49" i="11"/>
  <c r="R49" i="11"/>
  <c r="U48" i="11"/>
  <c r="R48" i="11"/>
  <c r="AT47" i="11"/>
  <c r="AS47" i="11"/>
  <c r="AR47" i="11"/>
  <c r="AQ47" i="11"/>
  <c r="AP47" i="11"/>
  <c r="U46" i="11"/>
  <c r="R46" i="11"/>
  <c r="U45" i="11"/>
  <c r="R45" i="11"/>
  <c r="U44" i="11"/>
  <c r="R44" i="11"/>
  <c r="U43" i="11"/>
  <c r="R43" i="11"/>
  <c r="U42" i="11"/>
  <c r="R42" i="11"/>
  <c r="U41" i="11"/>
  <c r="U40" i="11"/>
  <c r="AT39" i="11"/>
  <c r="AS39" i="11"/>
  <c r="AR39" i="11"/>
  <c r="AQ39" i="11"/>
  <c r="AP39" i="11"/>
  <c r="U38" i="11"/>
  <c r="R38" i="11"/>
  <c r="U37" i="11"/>
  <c r="R37" i="11"/>
  <c r="U36" i="11"/>
  <c r="R36" i="11"/>
  <c r="U35" i="11"/>
  <c r="R35" i="11"/>
  <c r="U34" i="11"/>
  <c r="R34" i="11"/>
  <c r="U33" i="11"/>
  <c r="R33" i="11"/>
  <c r="U32" i="11"/>
  <c r="R32" i="11"/>
  <c r="U31" i="11"/>
  <c r="R31" i="11"/>
  <c r="U30" i="11"/>
  <c r="R30" i="11"/>
  <c r="U29" i="11"/>
  <c r="R29" i="11"/>
  <c r="U28" i="11"/>
  <c r="R28" i="11"/>
  <c r="U27" i="11"/>
  <c r="R27" i="11"/>
  <c r="U26" i="11"/>
  <c r="R26" i="11"/>
  <c r="U25" i="11"/>
  <c r="R25" i="11"/>
  <c r="U24" i="11"/>
  <c r="R24" i="11"/>
  <c r="U23" i="11"/>
  <c r="R23" i="11"/>
  <c r="U22" i="11"/>
  <c r="R22" i="11"/>
  <c r="U21" i="11"/>
  <c r="R21" i="11"/>
  <c r="U20" i="11"/>
  <c r="R20" i="11"/>
  <c r="U19" i="11"/>
  <c r="R19" i="11"/>
  <c r="U18" i="11"/>
  <c r="R18" i="11"/>
  <c r="U17" i="11"/>
  <c r="R17" i="11"/>
  <c r="U16" i="11"/>
  <c r="R16" i="11"/>
  <c r="U15" i="11"/>
  <c r="R15" i="11"/>
  <c r="U14" i="11"/>
  <c r="R14" i="11"/>
  <c r="U13" i="11"/>
  <c r="R13" i="11"/>
  <c r="U12" i="11"/>
  <c r="R12" i="11"/>
  <c r="U11" i="11"/>
  <c r="U10" i="11"/>
  <c r="AV9" i="11"/>
  <c r="AU9" i="11"/>
  <c r="U9" i="11"/>
  <c r="R60" i="11" l="1"/>
  <c r="R73" i="11"/>
  <c r="AP144" i="11"/>
  <c r="R47" i="11"/>
  <c r="R39" i="11"/>
  <c r="AS144" i="11"/>
  <c r="R85" i="11"/>
  <c r="AT144" i="11"/>
  <c r="AU39" i="11"/>
  <c r="AQ144" i="11"/>
  <c r="AV39" i="11"/>
  <c r="R144" i="11" l="1"/>
  <c r="AV144" i="11"/>
  <c r="AR144" i="11"/>
  <c r="AU14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44CC863F-29C5-444F-AC14-26366E145D1E}">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D8" authorId="1" shapeId="0" xr:uid="{E38A994E-BDC5-4D4F-8509-E651AB8C401F}">
      <text>
        <r>
          <rPr>
            <sz val="9"/>
            <color indexed="81"/>
            <rFont val="Tahoma"/>
            <family val="2"/>
          </rPr>
          <t xml:space="preserve">VER ANEXO 1
</t>
        </r>
      </text>
    </comment>
    <comment ref="AE8" authorId="1" shapeId="0" xr:uid="{4D7DF714-BAF5-4C25-A196-68A2AE0B458E}">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<sst xmlns="http://schemas.openxmlformats.org/spreadsheetml/2006/main" count="3381" uniqueCount="786">
  <si>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</si>
  <si>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</si>
  <si>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</si>
  <si>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</si>
  <si>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</si>
  <si>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</si>
  <si>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</si>
  <si>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</si>
  <si>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</si>
  <si>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</si>
  <si>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</si>
  <si>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</si>
  <si>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TIEMPO DE EJECUCIÓN
(número de días)</t>
  </si>
  <si>
    <t>BENEFICIARIOS PROGRAMADOS</t>
  </si>
  <si>
    <t>FUENTE DE FINANCIACIÓN</t>
  </si>
  <si>
    <t>APROPIACIÓN INICIAL
(en pesos)</t>
  </si>
  <si>
    <t>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</si>
  <si>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</si>
  <si>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</si>
  <si>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</si>
  <si>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</si>
  <si>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</si>
  <si>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</si>
  <si>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</si>
  <si>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VALOR DE LA META PRODUCTO 2024-2027</t>
  </si>
  <si>
    <t>PROGRAMACIÓN META PRODUCTO 2024</t>
  </si>
  <si>
    <t>INDICADOR DE PRODUCTO SEGÚN PDD</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</si>
  <si>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</si>
  <si>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</si>
  <si>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</si>
  <si>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</si>
  <si>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</si>
  <si>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</si>
  <si>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</si>
  <si>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</si>
  <si>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</si>
  <si>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</si>
  <si>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</si>
  <si>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</si>
  <si>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</si>
  <si>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</si>
  <si>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Recursos propios </t>
  </si>
  <si>
    <t>Licitación pública</t>
  </si>
  <si>
    <t>SGP</t>
  </si>
  <si>
    <t>Selección abreviada menor cuantía</t>
  </si>
  <si>
    <t>Contratación régimen especial - Régimen especial</t>
  </si>
  <si>
    <t>Contratación régimen especial (con ofertas)  - Régimen especial</t>
  </si>
  <si>
    <t>Contratación directa.</t>
  </si>
  <si>
    <t>Seléccion abreviada - acuerdo marco</t>
  </si>
  <si>
    <t>Julio 16-2024</t>
  </si>
  <si>
    <t>Camilo Rey Sabogal</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</si>
  <si>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</si>
  <si>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</si>
  <si>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</si>
  <si>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</si>
  <si>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</si>
  <si>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</si>
  <si>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</si>
  <si>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</si>
  <si>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</si>
  <si>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</si>
  <si>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</si>
  <si>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</si>
  <si>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</si>
  <si>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</si>
  <si>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</si>
  <si>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META RESULTADO</t>
  </si>
  <si>
    <t xml:space="preserve">RIESGOS DEL PROYECTO </t>
  </si>
  <si>
    <t>ACCIONES DE CONTROL DE LOS RIESGOS DE LOS PROYECTOS</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</si>
  <si>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</si>
  <si>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</si>
  <si>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</si>
  <si>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</si>
  <si>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</si>
  <si>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</si>
  <si>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</si>
  <si>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</si>
  <si>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</si>
  <si>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</si>
  <si>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</si>
  <si>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</si>
  <si>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</si>
  <si>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</si>
  <si>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</si>
  <si>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</si>
  <si>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</si>
  <si>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</si>
  <si>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</si>
  <si>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</si>
  <si>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</si>
  <si>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</si>
  <si>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</si>
  <si>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DENOMINACIÓN DEL PRODUCTO</t>
  </si>
  <si>
    <t>DIMENSIÓN (ES) DE MIPG</t>
  </si>
  <si>
    <t>ACTIVIDADES DE PROYECTO DE INVERSIÓN 
( HITOS )</t>
  </si>
  <si>
    <t>CÓDIGO DE PROGRAMA</t>
  </si>
  <si>
    <t>OBJETIVO ESPECIFICO DEL PROYECTO</t>
  </si>
  <si>
    <t>PONDERACIÓN DE  PRODUCTO</t>
  </si>
  <si>
    <t>CUANTÍA ASIGNADA A LA CONTRATACIÓN</t>
  </si>
  <si>
    <t>TRAZADOR PRESUPUESTAL</t>
  </si>
  <si>
    <t>Fecha: 16/07/2024</t>
  </si>
  <si>
    <t>Código: PTDGI01-F001</t>
  </si>
  <si>
    <t>Página: 2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</si>
  <si>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</si>
  <si>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</si>
  <si>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</si>
  <si>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</si>
  <si>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</si>
  <si>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</si>
  <si>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</si>
  <si>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</si>
  <si>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</si>
  <si>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</si>
  <si>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</si>
  <si>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</si>
  <si>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</si>
  <si>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</si>
  <si>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</si>
  <si>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</si>
  <si>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</si>
  <si>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</si>
  <si>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</si>
  <si>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</si>
  <si>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</si>
  <si>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</si>
  <si>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</si>
  <si>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</si>
  <si>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</si>
  <si>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</si>
  <si>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</si>
  <si>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</si>
  <si>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</si>
  <si>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</si>
  <si>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</si>
  <si>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</si>
  <si>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</si>
  <si>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</si>
  <si>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</si>
  <si>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</si>
  <si>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</si>
  <si>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</si>
  <si>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</si>
  <si>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</si>
  <si>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</si>
  <si>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</si>
  <si>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</si>
  <si>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</si>
  <si>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</si>
  <si>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</si>
  <si>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</si>
  <si>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</si>
  <si>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</si>
  <si>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</si>
  <si>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</si>
  <si>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</si>
  <si>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</si>
  <si>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</si>
  <si>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</si>
  <si>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</si>
  <si>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</si>
  <si>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</si>
  <si>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</si>
  <si>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</si>
  <si>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</si>
  <si>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</si>
  <si>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</si>
  <si>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</si>
  <si>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BIEN </t>
  </si>
  <si>
    <t>SERVICIO</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</si>
  <si>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</si>
  <si>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</si>
  <si>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</si>
  <si>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</si>
  <si>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</si>
  <si>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</si>
  <si>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</si>
  <si>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</si>
  <si>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</si>
  <si>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</si>
  <si>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</si>
  <si>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</si>
  <si>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</si>
  <si>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</si>
  <si>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</si>
  <si>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</si>
  <si>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</si>
  <si>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</si>
  <si>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</si>
  <si>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</si>
  <si>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</si>
  <si>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</si>
  <si>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</si>
  <si>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</si>
  <si>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</si>
  <si>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</si>
  <si>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</si>
  <si>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</si>
  <si>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</si>
  <si>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</si>
  <si>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</si>
  <si>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</si>
  <si>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</si>
  <si>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</si>
  <si>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</si>
  <si>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</si>
  <si>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</si>
  <si>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</si>
  <si>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</si>
  <si>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</si>
  <si>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</si>
  <si>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</si>
  <si>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</si>
  <si>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</si>
  <si>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</si>
  <si>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</si>
  <si>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</si>
  <si>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</si>
  <si>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</si>
  <si>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</si>
  <si>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</si>
  <si>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</si>
  <si>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</si>
  <si>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</si>
  <si>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</si>
  <si>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</si>
  <si>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</si>
  <si>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</si>
  <si>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</si>
  <si>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</si>
  <si>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</si>
  <si>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</si>
  <si>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</si>
  <si>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</si>
  <si>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</si>
  <si>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</si>
  <si>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</si>
  <si>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</si>
  <si>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</si>
  <si>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</si>
  <si>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</si>
  <si>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</si>
  <si>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</si>
  <si>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</si>
  <si>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</si>
  <si>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</si>
  <si>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</si>
  <si>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</si>
  <si>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</si>
  <si>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</si>
  <si>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</si>
  <si>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</si>
  <si>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</si>
  <si>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</si>
  <si>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</si>
  <si>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</si>
  <si>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</si>
  <si>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</si>
  <si>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</si>
  <si>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</si>
  <si>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</si>
  <si>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</si>
  <si>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</si>
  <si>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</si>
  <si>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</si>
  <si>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</si>
  <si>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</si>
  <si>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</si>
  <si>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</si>
  <si>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</si>
  <si>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</si>
  <si>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</si>
  <si>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</si>
  <si>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</si>
  <si>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</si>
  <si>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</si>
  <si>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</si>
  <si>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</si>
  <si>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</si>
  <si>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</si>
  <si>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</si>
  <si>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</si>
  <si>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</si>
  <si>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</si>
  <si>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</si>
  <si>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</si>
  <si>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</si>
  <si>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</si>
  <si>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</si>
  <si>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</si>
  <si>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</si>
  <si>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</si>
  <si>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</si>
  <si>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</si>
  <si>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</si>
  <si>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</si>
  <si>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</si>
  <si>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</si>
  <si>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</si>
  <si>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</si>
  <si>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</si>
  <si>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</si>
  <si>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</si>
  <si>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</si>
  <si>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</si>
  <si>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</si>
  <si>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</si>
  <si>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</si>
  <si>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</si>
  <si>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</si>
  <si>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</si>
  <si>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</si>
  <si>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</si>
  <si>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</si>
  <si>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</si>
  <si>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</si>
  <si>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</si>
  <si>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</si>
  <si>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</si>
  <si>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</si>
  <si>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</si>
  <si>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</si>
  <si>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</si>
  <si>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</si>
  <si>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</si>
  <si>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</si>
  <si>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</si>
  <si>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</si>
  <si>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</si>
  <si>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</si>
  <si>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</si>
  <si>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</si>
  <si>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</si>
  <si>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</si>
  <si>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</si>
  <si>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</si>
  <si>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</si>
  <si>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</si>
  <si>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</si>
  <si>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</si>
  <si>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</si>
  <si>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</si>
  <si>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</si>
  <si>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</si>
  <si>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</si>
  <si>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</si>
  <si>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</si>
  <si>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</si>
  <si>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</si>
  <si>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</si>
  <si>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</si>
  <si>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</si>
  <si>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</si>
  <si>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</si>
  <si>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</si>
  <si>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</si>
  <si>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</si>
  <si>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</si>
  <si>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</si>
  <si>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</si>
  <si>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</si>
  <si>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</si>
  <si>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</si>
  <si>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</si>
  <si>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</si>
  <si>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</si>
  <si>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</si>
  <si>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</si>
  <si>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</si>
  <si>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</si>
  <si>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</si>
  <si>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</si>
  <si>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</si>
  <si>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</si>
  <si>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</si>
  <si>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</si>
  <si>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</si>
  <si>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</si>
  <si>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</si>
  <si>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</si>
  <si>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</si>
  <si>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</si>
  <si>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</si>
  <si>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</si>
  <si>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</si>
  <si>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</si>
  <si>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</si>
  <si>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</si>
  <si>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</si>
  <si>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</si>
  <si>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</si>
  <si>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</si>
  <si>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</si>
  <si>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</si>
  <si>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</si>
  <si>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</si>
  <si>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</si>
  <si>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</si>
  <si>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</si>
  <si>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</si>
  <si>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</si>
  <si>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</si>
  <si>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</si>
  <si>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</si>
  <si>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</si>
  <si>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</si>
  <si>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</si>
  <si>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</si>
  <si>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</si>
  <si>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</si>
  <si>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</si>
  <si>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</si>
  <si>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</si>
  <si>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</si>
  <si>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</si>
  <si>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</si>
  <si>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</si>
  <si>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</si>
  <si>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</si>
  <si>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</si>
  <si>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</si>
  <si>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</si>
  <si>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</si>
  <si>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</si>
  <si>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</si>
  <si>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</si>
  <si>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</si>
  <si>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</si>
  <si>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</si>
  <si>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</si>
  <si>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</si>
  <si>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</si>
  <si>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</si>
  <si>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</si>
  <si>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</si>
  <si>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</si>
  <si>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</si>
  <si>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</si>
  <si>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</si>
  <si>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</si>
  <si>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</si>
  <si>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</si>
  <si>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</si>
  <si>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</si>
  <si>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</si>
  <si>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</si>
  <si>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</si>
  <si>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</si>
  <si>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</si>
  <si>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</si>
  <si>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</si>
  <si>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</si>
  <si>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</si>
  <si>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</si>
  <si>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</si>
  <si>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</si>
  <si>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</si>
  <si>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</si>
  <si>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</si>
  <si>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</si>
  <si>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</si>
  <si>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</si>
  <si>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</si>
  <si>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</si>
  <si>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</si>
  <si>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</si>
  <si>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</si>
  <si>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</si>
  <si>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</si>
  <si>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</si>
  <si>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</si>
  <si>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</si>
  <si>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</si>
  <si>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</si>
  <si>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</si>
  <si>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</si>
  <si>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</si>
  <si>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</si>
  <si>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</si>
  <si>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</si>
  <si>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</si>
  <si>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</si>
  <si>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</si>
  <si>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</si>
  <si>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</si>
  <si>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</si>
  <si>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</si>
  <si>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</si>
  <si>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</si>
  <si>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</si>
  <si>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</si>
  <si>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</si>
  <si>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</si>
  <si>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</si>
  <si>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</si>
  <si>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</si>
  <si>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</si>
  <si>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</si>
  <si>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</si>
  <si>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</si>
  <si>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</si>
  <si>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</si>
  <si>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</si>
  <si>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</si>
  <si>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</si>
  <si>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</si>
  <si>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</si>
  <si>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</si>
  <si>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</si>
  <si>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</si>
  <si>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</si>
  <si>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Servicio de transporte terrestre</t>
  </si>
  <si>
    <t>Contratatación de prestación de servicios profesionales y/o de apoyo a la gestión del equipo de trabajo que ejecutará las actividades del proyecto</t>
  </si>
  <si>
    <t>Apoyo a Deportistas</t>
  </si>
  <si>
    <t>Logistica para trabajo de campo</t>
  </si>
  <si>
    <t>Prestacion de servicio de impresión y proceso editorial de cartilla</t>
  </si>
  <si>
    <t>Adquisición de equipos</t>
  </si>
  <si>
    <t>Servicio de Transporte</t>
  </si>
  <si>
    <t>Suministrar los materiales e insumos, implementación deportiva y uniforme requeridos para el desarrollo de los juegos intercolegiados</t>
  </si>
  <si>
    <t>Realizar eventos deportivos de carácter regional, nacional e internacional en la ciudad</t>
  </si>
  <si>
    <t>Adquisición de Materiales de Ferreteria</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</si>
  <si>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</si>
  <si>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</si>
  <si>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</si>
  <si>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</si>
  <si>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</si>
  <si>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</si>
  <si>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</si>
  <si>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</si>
  <si>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</si>
  <si>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</si>
  <si>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</si>
  <si>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</si>
  <si>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</si>
  <si>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</si>
  <si>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</si>
  <si>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</si>
  <si>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</si>
  <si>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</si>
  <si>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</si>
  <si>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</si>
  <si>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</si>
  <si>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</si>
  <si>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</si>
  <si>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</si>
  <si>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</si>
  <si>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</si>
  <si>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</si>
  <si>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PRIMERA INFANCIA, INFANCIA Y ADOLESCENCIA</t>
  </si>
  <si>
    <t xml:space="preserve">Escenario deportivo nuevo construido </t>
  </si>
  <si>
    <t xml:space="preserve">Escenarios deportivos reconstruidos </t>
  </si>
  <si>
    <t>Escenarios deportivos mantenidos, adecuados y mejorados .</t>
  </si>
  <si>
    <t>Niños, niñas, adolescentes y jóvenes inscristos en la EIFD</t>
  </si>
  <si>
    <t>Personas participantes en los eventos y/o torneos del deporte social comunitario</t>
  </si>
  <si>
    <t xml:space="preserve">Personas vinculadas  a los eventos deportivos de carácter regional, nacional e internacional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</si>
  <si>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</si>
  <si>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</si>
  <si>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</si>
  <si>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</si>
  <si>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REPORTE ACTIVIDAD DEL PROYECTO EJECUTADO AÑO 2024</t>
  </si>
  <si>
    <t>PROGRAMACIÓN NUMÉRICA DE LA ACTIVIDAD PROYECTO (VIGENCIA 2025)</t>
  </si>
  <si>
    <t>ICA 3%, TASA PRODEPORTE, SGP -DEPORTE,RF SGP- DEPORTE, RF SGP-DEPORTE IDER</t>
  </si>
  <si>
    <t>ICA 3%, SGP-DEPORTES</t>
  </si>
  <si>
    <t xml:space="preserve">ICA 3%,  TASA PRODEPORTE, PARTICIPACIONES DISTITNTAS DEL SGP(IMPUESTO AL CONSUMO DE CIGARILLOS Y TABACO), SGP-DEPORTE, RF IDER </t>
  </si>
  <si>
    <t>ICA 3%, TASA PRODEPORTE, SGP DEPORTE</t>
  </si>
  <si>
    <t xml:space="preserve">ICA 3%, TASA PRODEPORTE, SGP DEPORTE </t>
  </si>
  <si>
    <t>ICA 3%, TASA PRODEPORTE, SGP-DEPORTE</t>
  </si>
  <si>
    <t>ICA 3%, TASA PRODEPORTE, SGP-DEPORTES</t>
  </si>
  <si>
    <t>ICLD, RF IDER</t>
  </si>
  <si>
    <t xml:space="preserve"> ICLD</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</si>
  <si>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</si>
  <si>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</si>
  <si>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</si>
  <si>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Compilado de torneos desarrollados</t>
  </si>
  <si>
    <t>Organización, logística, y ejecución de los juegos tendiente a la promoción, desarrollo y participación de la comunidad afrocolombiana</t>
  </si>
  <si>
    <t>Desarrollar torneos de juegos ancestrales y convencionales</t>
  </si>
  <si>
    <t>Vincular a los participantes en actividades de práctica deportiva y recreativa</t>
  </si>
  <si>
    <t>Organización, logística, y ejecución de los juegos tendiente a la promoción, desarrollo y participación de la comunidad indigena</t>
  </si>
  <si>
    <t>Eventos deportivos y recreativos de carácter regional, nacional e internaciona impulsados.</t>
  </si>
  <si>
    <t>Material de divulgación generado</t>
  </si>
  <si>
    <t xml:space="preserve">Organización, logística, y ejecución de eventos deportivos en la ciudad que impulsen el turismo deportivo. </t>
  </si>
  <si>
    <t>Generacion de convenios y/o alianzas con entidades de enfoque turístico</t>
  </si>
  <si>
    <t>Implementación de estrategias de comunicación para la divulgación institucional, mediante la promoción y difusión de los planes, programas y contenidos de las actividades desarrolladas en el marco de los proyectos de inversión 2025</t>
  </si>
  <si>
    <t>Organización, logística, y ejecución de torneos y/o festivales deportivos</t>
  </si>
  <si>
    <t xml:space="preserve">	Realizar jornadas de activación deportiva </t>
  </si>
  <si>
    <t>Organización, logística, y ejecución de los juegos de discapacidad</t>
  </si>
  <si>
    <t>Servicio de transporte</t>
  </si>
  <si>
    <t xml:space="preserve">Organización, logística, y ejecución de los juegos carcelarios y del sistema de responsabilidad penal para adolescentes </t>
  </si>
  <si>
    <t>Organización, logística, y ejecución de los juegos deportivos distritales comunales 2025</t>
  </si>
  <si>
    <t>Organización, logística, y ejecución de los juegos corregimentales 2025</t>
  </si>
  <si>
    <t>Estrategia diseñada</t>
  </si>
  <si>
    <t>Organización, logística, y ejecución de encuentros deportivos entre los organismos deportivos y deportistas para la promocion del deporte</t>
  </si>
  <si>
    <t>Resolución</t>
  </si>
  <si>
    <t>Asesorías y acompañamientos registrados</t>
  </si>
  <si>
    <t>Apoyo a Organismos deportivos</t>
  </si>
  <si>
    <t>SGP
Recursos Propios</t>
  </si>
  <si>
    <t>Aunar esfuerzos técnicos, administrativos y financieros para el fortalecimiento del conocimiento y ciencias aplicadas al deporte y la recreación en distrito de Cartagena a través de redes de apoyo nacionales e internacionales que promuevan la importancia de generar conocimientos e incentiven la investigación en la ciencia del deporte por medio de la realización de un congreso, un foro y encuentro científico.</t>
  </si>
  <si>
    <t>SGP 
Recursos Propios</t>
  </si>
  <si>
    <t xml:space="preserve">Realizar acompañamiento y seguimiento en la formulación e implementación de la Política Pública del Sector Deporte y Recreación. </t>
  </si>
  <si>
    <t>Logística para el desarrollo del semillero de investigacion</t>
  </si>
  <si>
    <t>Política Publica formulada e implementada.</t>
  </si>
  <si>
    <t>Suministrar los materiales implementación para el funcionamiento de los núcleos de educación física extraescolar</t>
  </si>
  <si>
    <t>Organización, logística, y ejecución de los juegos intercolegiados 2025 a desarrollarse en el distrito Turístico y Cultural de Cartagena</t>
  </si>
  <si>
    <t xml:space="preserve">Adquisición de uniformes e implementación deportiva </t>
  </si>
  <si>
    <t xml:space="preserve">Contratar el servicio de transporte y refrigerio para los niños, niñas y adolscentes de la EIFD en cumplimiento de lo reglamentado en la Tasa ProDeeporte.  </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</si>
  <si>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</si>
  <si>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</si>
  <si>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</si>
  <si>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</si>
  <si>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Actividades de integración deportivas y culturales realizadas</t>
  </si>
  <si>
    <t>Actividades de intercambio, Festivales y/o olimpiadas realizadas</t>
  </si>
  <si>
    <t>Realizacion de actividades de integración deportivas y culturales para la participación de los integrantes de la Escuela.</t>
  </si>
  <si>
    <t>Realizacion de intercambios, festivales y/o olimpiadas.</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</si>
  <si>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</si>
  <si>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</si>
  <si>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</si>
  <si>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Servicio de Logística para la Implementación de la Transformación de Hábitos a Través del Fomento de la Actividad Física y estilos de Vida Saludable en el Distrito de Cartagena.</t>
  </si>
  <si>
    <t>Cartagena es violeta</t>
  </si>
  <si>
    <t>Caminata Rosa</t>
  </si>
  <si>
    <t>Suministro de Vallas, Planta Electrica y Materiales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</si>
  <si>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</si>
  <si>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núcleos de educación física extraescolar creados</t>
  </si>
  <si>
    <t>Complejo deportivo nuevo Chambacú construido</t>
  </si>
  <si>
    <t>Ejecucion obras de reconstrucción de escenarios deportivos deteriorados</t>
  </si>
  <si>
    <t>Ejecucion obras de construcción de escenarios deportivos</t>
  </si>
  <si>
    <t>Adquisicion de polizas</t>
  </si>
  <si>
    <t>Servicios publicos</t>
  </si>
  <si>
    <t>Vigilancia</t>
  </si>
  <si>
    <t>Adquisicion de equipos para mantenimiento</t>
  </si>
  <si>
    <t>Adquisicion de equipos para trabajo en altura</t>
  </si>
  <si>
    <t>Adquisición de insumos para Aseo</t>
  </si>
  <si>
    <t>Adquisición de Químicos</t>
  </si>
  <si>
    <t>Mantenimiento electrico de Escenarios Deportivos</t>
  </si>
  <si>
    <t xml:space="preserve">Servicios para mantenimiento de equipos electricos y mecanicos </t>
  </si>
  <si>
    <t>Obras de mantenimiento de los escenarios deportivos</t>
  </si>
  <si>
    <t>Mantenimiento, suministro y fabricación de protecciones de seguridad en zonas de competencia para escenarios deportivos.</t>
  </si>
  <si>
    <t>Servicios de conservacion, mejoramientos locativos</t>
  </si>
  <si>
    <t>Sevicios para mantenimientos de equipos de corte</t>
  </si>
  <si>
    <t>Suministro de Lubricantes</t>
  </si>
  <si>
    <t>Suministro de Combustible</t>
  </si>
  <si>
    <t>Mobiliario deportivo</t>
  </si>
  <si>
    <t>ACUMULADO AL CUATRIENIO</t>
  </si>
  <si>
    <t>ACUMULADO META PRODUCTO AL AÑO 2025</t>
  </si>
  <si>
    <t>PRESUPUESTO INICIAL  2025</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</si>
  <si>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</si>
  <si>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</si>
  <si>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</si>
  <si>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</si>
  <si>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promocion de habitos y estilos de vida saludable,recreacion,actividad fisica y el aprovechamiento del tiempo libre en el distrito de cartagena</t>
  </si>
  <si>
    <t xml:space="preserve">Avance Programa Cartagena ciudad destino de turismo deportivo </t>
  </si>
  <si>
    <t>Avance Programa desarrollo humano bienestar social de las comunidades negras,afrocolombianas,raizales y palenqueras</t>
  </si>
  <si>
    <t>Avance Programa atencion integral para las comunidades indigenas</t>
  </si>
  <si>
    <t>Avance Programa Fortalecimiento del deporte social comunitario,avanzar en nuestro territorio</t>
  </si>
  <si>
    <t xml:space="preserve">1.	El principal retraso para el avance de la meta del proyecto tiene que ver con la oportunidad de contratación del personal requerido para la ejecución del proyecto  el desarrollo de las actividades programadas, limitando la operatividad y el cumplimiento de los objetivos trazados.
2.	Aun no se establecen los convenios con los operadores para la ejecución de los Juegos A Las Comunidades Negras, Afrocolombiana, Raizales Y Palenquera En Cartagena De Indias, se logra establecer algunas estrategias y soluciones que permita el alcance de esta meta, planteando lo siguiente: 
3.	Definir claramente los términos y responsabilidades del convenio
4.	Monitorear y hacer seguimiento continuo a los procesos de contratación para la ejecución de los Juegos Afro
5.	Articular entre las oficinas encargadas de los procesos contractuales con los operadores (financiera y jurídica) con la oficina de deporte, de acuerdo a los calendarios de ejecución de los programas para el cumplimiento de estos a las fechas ejecución establecidas con la comunidad.
</t>
  </si>
  <si>
    <t>•	21 de enero 2025, Invitación por parte de la oficina de asuntos étnicos de la secretaria de interior de la alcaldía del distrito para socializar y entregar las metas del capítulo Étnico del Plan de Desarrollo con el Instituto, resultados alcanzados y los pasos a seguir durante el presente año.
•	5 de marzo 2025, Se realizó visita de la autoridad indígena Álvaro Bula del Cabildo Kainzhabz zenu de Bayunca, para socializar la logística de los Juegos del presente año, inauguración, actividades previas a los Juegos Indígenas, actividades ancestrales participantes , además se socializo la información sobre el proceso de inscripción a los juegos , así mismo se realizaron socializaciones y reuniones para dar a conocer los sistemas de competencias y los referentes técnicos de estos, se construyó el plan de trabajo y cronogramas de actividades en los diferentes cabildos.
SOCIALIZACIONES</t>
  </si>
  <si>
    <t>Se ha venido realizando acompañamiento y seguimiento en la formulación e
implementación de la Política Pública del Sector Deporte y Recreación. En trabajo
articulado con planeación se participa en la organización de los diálogos
participativos previo a la rendición de cuentas del 2024. Proponer y realizar estudios e investigaciones con carácter artículos
científico-históricos asociados al sector deporte.
Se trabaja en la elaboración de la crónica histórico - deportiva sobre el desarrollo
de las ciencias aplicadas en el sector deporte de la ciudad de Cartagena.
6. Publicar</t>
  </si>
  <si>
    <t xml:space="preserve">REPORTE META PRODUCTO ENERO -DICIEMBRE 2024 </t>
  </si>
  <si>
    <t xml:space="preserve">Se iniciarán  la construcción de nuevos escenarios deportivos en el segundo semestre del año 2025. </t>
  </si>
  <si>
    <t xml:space="preserve">La Secretaría de Infraestructura señala que uno de los avances más significativos es la fase final del canal perimetral, que se empalmará con el box culvert, una estructura considerada clave para el drenaje de la zona.
“Actualmente, el canal perimetral se encuentra en su última fase de trabajo para empalmar con el box culvert, una estructura esencial para garantizar el adecuado drenaje en la zona”, indicaron de la entidad distrital, resaltando que este elemento es fundamental para evitar inundaciones y garantizar la estabilidad del terreno.2.                                                        En cuanto a los accesos, se han registrado progresos en tres puntos principales:
En el acceso principal se está fundiendo la placa entrepiso.                                                                                                                                                                 En el acceso dos, denominado “manglares”, todas las columnas han sido completadas.
En el acceso tres, las estructuras verticales han sido fundidas, consolidando la base del proyecto.                                                                                                                                                                                                                                                                                                            Simultáneamente, el box culvert se encuentra en proceso de construcción con la fundida de su placa superior, mientras se realizan trabajos de relleno, compactación y cimentación en la zona donde se instalarán las baterías sanitarias y los camerinos. Además, informaron que las escalinatas del complejo ya tienen su trazado definido, con el suelo mejorado y listo para la siguiente fase de construcción.  Tras finalizar la fase de cimentación, la siguiente etapa contempla la construcción de canchas deportivas, senderos ecológicos, ciclorrutas, zonas de recreación, entre muchos otros espacios para niños, jóvenes y adultos.
Dentro de las instalaciones se incluirán espacios para la práctica de fútbol, sóftbol, baloncesto y voleibol, así como áreas para deportes extremos como un skate park, construcción de un parque para mascotas, plazoletas y enlaces peatonales que lo conectarán con el Centro Histórico.  El diseño del complejo también prevé plazoletas y enlaces peatonales para facilitar la conexión con el Centro Histórico. Con este enfoque, se busca que el Nuevo Chambacú se convierta en un referente para la actividad deportiva y de esparcimiento en Cartagena.                                                                           </t>
  </si>
  <si>
    <t xml:space="preserve">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50% </t>
  </si>
  <si>
    <t>A la fecha de este informe, se han realizado 83 acciones de mantenimiento preventivo recurrente a Escenarios Deportivos, por lo menos una vez en lo que va corrido del año, de Enero a Marzo 2025.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	Con relación a la autorización permisos para el uso temporal y/o permanente de los escenarios deportivos la población que se busca impactar por el uso y disfrute de los escenarios deportivos y recreativos, hemos logrado generar 252 permisos expedidos y así impactar a 4.984 personas.• Para el buen funcionamiento de los escenarios deportivos es necesario contar con los servicios públicos. A la fecha se encuentran al día al mes de Febrero 2025.</t>
  </si>
  <si>
    <t xml:space="preserve">Para este periodo se inició  con el proceso de inscripción en los núcleos en procesos de los niveles de iniciación y  formación, para un total de 1239 NNA beneficiarios de las 3 localidades ( Loc1= 430- Loc2=435 – Loc3 = 374) al corte del mes, luego de abrir de forma tardía la plataforma de inscripciones y con ello la apertura de núcleos, por lo que se tiene proyectado como estrategia, se abrir plataforma para inscribir niños y jóvenes con el proceso de énfasis y perfeccionamiento deportivo, esperando incrementar de forma importante la vinculación de los NNA a la EIFD. </t>
  </si>
  <si>
    <t>A corte este periodo se encuentran activos 51 núcleos de Iniciación y Formación Deportiva, en las tres localidades del Distrito de Cartagena. Los cuañles se encuentran Localidad 1:  13, Localidad 2: 23  y Localidad 3: 15</t>
  </si>
  <si>
    <t>Se establecio el cronograma de trabajo con las intituciones educativas donde se desarrollaran los dos (2) núcleos de Educaciín Física extraescolar.en el Distrito de Cartagena de Indias, los cuales se esperan que entren en funcionaiento en el segundo semestre del 2025.</t>
  </si>
  <si>
    <r>
      <t xml:space="preserve"> A corte de 20 de febrero reportamos una magnitud ejecutada de 1.770 personas participantes vinculados en las estrategias y/o actividades de recreación comunitaria.</t>
    </r>
    <r>
      <rPr>
        <b/>
        <u/>
        <sz val="11"/>
        <color theme="1"/>
        <rFont val="Arial"/>
        <family val="2"/>
      </rPr>
      <t>RECREACIÓN INCLUYENTE:</t>
    </r>
    <r>
      <rPr>
        <b/>
        <sz val="11"/>
        <color theme="1"/>
        <rFont val="Arial"/>
        <family val="2"/>
      </rPr>
      <t xml:space="preserve"> </t>
    </r>
    <r>
      <rPr>
        <sz val="11"/>
        <color theme="1"/>
        <rFont val="Arial"/>
        <family val="2"/>
      </rPr>
      <t>Se da cumplimento a la estrategia en este periodo, adelantando (4) acciones.
Magnitud Ejecutada Acumulada en este periodo (66) Beneficiados.  Pasamos de (121) personas beneficiadas a (187).</t>
    </r>
    <r>
      <rPr>
        <b/>
        <sz val="11"/>
        <color theme="1"/>
        <rFont val="Arial"/>
        <family val="2"/>
      </rPr>
      <t xml:space="preserve"> INSTITUCIONES ACTIVAS </t>
    </r>
    <r>
      <rPr>
        <sz val="11"/>
        <color theme="1"/>
        <rFont val="Arial"/>
        <family val="2"/>
      </rPr>
      <t>: Se da cumplimento a la estrategia en este periodo, adelantando (5) acciones.Magnitud Ejecutada Acumulada en este periodo (436) 
Pasamos de (998) personas beneficiadas a (1434).</t>
    </r>
    <r>
      <rPr>
        <b/>
        <sz val="11"/>
        <color theme="1"/>
        <rFont val="Arial"/>
        <family val="2"/>
      </rPr>
      <t xml:space="preserve"> ACTIVATE MAYOR </t>
    </r>
    <r>
      <rPr>
        <sz val="11"/>
        <color theme="1"/>
        <rFont val="Arial"/>
        <family val="2"/>
      </rPr>
      <t xml:space="preserve">: Se da cumplimento a la estrategia en este periodo, adelantando (3) acciones.
Magnitud Ejecutada Acumulada en este periodo (62), </t>
    </r>
    <r>
      <rPr>
        <b/>
        <sz val="11"/>
        <color theme="1"/>
        <rFont val="Arial"/>
        <family val="2"/>
      </rPr>
      <t xml:space="preserve">ESCUELA RECREATIVA: </t>
    </r>
    <r>
      <rPr>
        <sz val="11"/>
        <color theme="1"/>
        <rFont val="Arial"/>
        <family val="2"/>
      </rPr>
      <t xml:space="preserve">Se da cumplimento a la estrategia en este periodo, adelantando (7) acciones.
Magnitud Ejecutada Acumulada en este periodo (682), Pasamos de (270) personas beneficiadas a (952). </t>
    </r>
    <r>
      <rPr>
        <b/>
        <sz val="11"/>
        <color theme="1"/>
        <rFont val="Arial"/>
        <family val="2"/>
      </rPr>
      <t>APROVECHAMIENTO DEL ESPACUI PÚBLICO</t>
    </r>
    <r>
      <rPr>
        <sz val="11"/>
        <color theme="1"/>
        <rFont val="Arial"/>
        <family val="2"/>
      </rPr>
      <t xml:space="preserve">:Se da cumplimento a la estrategia en este periodo, adelantando (16) acciones. Magnitud Ejecutada Acumulada en este periodo (1276) Beneficiados, Pasamos de (381) personas beneficiadas a (1657),  
</t>
    </r>
  </si>
  <si>
    <r>
      <rPr>
        <b/>
        <sz val="11"/>
        <color theme="1"/>
        <rFont val="Arial"/>
        <family val="2"/>
      </rPr>
      <t xml:space="preserve">ENTORNOS SALUDABLES: </t>
    </r>
    <r>
      <rPr>
        <sz val="11"/>
        <color theme="1"/>
        <rFont val="Arial"/>
        <family val="2"/>
      </rPr>
      <t xml:space="preserve">Se da cumplimento a la estrategia en este periodo, adelantando (15) acciones. Magnitud Ejecutada en este periodo es de (936), pasamos de (936) a (1.862) personas beneficiadas. </t>
    </r>
    <r>
      <rPr>
        <b/>
        <sz val="11"/>
        <color theme="1"/>
        <rFont val="Arial"/>
        <family val="2"/>
      </rPr>
      <t xml:space="preserve">INTEGRATE POR TU SALUD: </t>
    </r>
    <r>
      <rPr>
        <sz val="11"/>
        <color theme="1"/>
        <rFont val="Arial"/>
        <family val="2"/>
      </rPr>
      <t xml:space="preserve">Se da cumplimento a la estrategia en este periodo, adelantando (3) Acciones.  Magnitud Ejecutada en este periodo (36) se pasa de (28) a (64) personas beneficiadas, </t>
    </r>
    <r>
      <rPr>
        <b/>
        <sz val="11"/>
        <color theme="1"/>
        <rFont val="Arial"/>
        <family val="2"/>
      </rPr>
      <t>PASOS SALUDABLES:</t>
    </r>
    <r>
      <rPr>
        <sz val="11"/>
        <color theme="1"/>
        <rFont val="Arial"/>
        <family val="2"/>
      </rPr>
      <t xml:space="preserve"> Se da cumplimento a la estrategia en este periodo, adelantando (3) Acciones. Magnitud Ejecutada Acumulada en este periodo (68) se pasa de (820) a (888) personas beneficiadas.</t>
    </r>
    <r>
      <rPr>
        <b/>
        <sz val="11"/>
        <color theme="1"/>
        <rFont val="Arial"/>
        <family val="2"/>
      </rPr>
      <t>VIDA</t>
    </r>
    <r>
      <rPr>
        <sz val="11"/>
        <color theme="1"/>
        <rFont val="Arial"/>
        <family val="2"/>
      </rPr>
      <t xml:space="preserve"> </t>
    </r>
    <r>
      <rPr>
        <b/>
        <sz val="11"/>
        <color theme="1"/>
        <rFont val="Arial"/>
        <family val="2"/>
      </rPr>
      <t>ACTIVA :</t>
    </r>
    <r>
      <rPr>
        <sz val="11"/>
        <color theme="1"/>
        <rFont val="Arial"/>
        <family val="2"/>
      </rPr>
      <t>Se da cumplimento a la estrategia en este periodo, adelantando (4) acciones. Magnitud Ejecutada Acumulada en este periodo (599) se pasa de (3.943) a (4.542),</t>
    </r>
    <r>
      <rPr>
        <b/>
        <sz val="11"/>
        <color theme="1"/>
        <rFont val="Arial"/>
        <family val="2"/>
      </rPr>
      <t xml:space="preserve"> EVENTOS DE PROMOCIÓN Y CONCETRACION: </t>
    </r>
    <r>
      <rPr>
        <sz val="11"/>
        <color theme="1"/>
        <rFont val="Arial"/>
        <family val="2"/>
      </rPr>
      <t xml:space="preserve">Se da cumplimento a la estrategia en este periodo, adelantando (2) acciones. 
Magnitud Ejecutada Acumulada en este periodo para Eventos de Concentración es del (10%), se realizaron 10 eventos y se impactaron un total de (1.130).
Magnitud Ejecutada Acumulada en este periodo para Eventos de Promoción es del (6%), se realizaron 8 eventos y se impactaron un total de (403). 
 </t>
    </r>
    <r>
      <rPr>
        <b/>
        <sz val="11"/>
        <color theme="1"/>
        <rFont val="Arial"/>
        <family val="2"/>
      </rPr>
      <t xml:space="preserve">
</t>
    </r>
  </si>
  <si>
    <t xml:space="preserve">Se entregaron estímulos e incentivos a cinco (5) deportitas a través de la Resoluciones No. 005. 007, 017, 086, 090 del 2025 </t>
  </si>
  <si>
    <t xml:space="preserve">Se impulsaron cinco (5 ) eventos deportivos, los cuales fueron: Media Maraton del Mar Kids, Media Maraton del Mar, Torneo Fedecoltenis Nacional, Torneo Acismabol, Suramericano de Fútbol Sub-17. </t>
  </si>
  <si>
    <t xml:space="preserve">Se impulsaron cinco (5 ) eventos deportivos, los cuales fueron: Media Maraton del Mar Kids, Media Maraton del Mar, Torneo Fedecoltenis Nacional, Torneo Acismabol, Suramericano de Fútbol Sub-17.Estos eventos beneficaron a 14.320 personas. </t>
  </si>
  <si>
    <t xml:space="preserve">Se impusaron un (1) evento recreativo , el cual fue: Open Latino de Kangoo. Este evento beneficio aproximadamente a 493 personas. </t>
  </si>
  <si>
    <t xml:space="preserve">OBSERVACIONES MARZO  2025 https://idergov-my.sharepoint.com/:f:/g/personal/planeacion_ider_gov_co/EnG2Fni-CFhNuzwDT2FC2l0BvEUNcZM0Ryf5tVBcyYoBtw?e=FaO0SE. </t>
  </si>
  <si>
    <t>REPORTE PRODUCTO DE ENERO -MARZO DE 2025</t>
  </si>
  <si>
    <t>REPORTE ACTIVIDAD DE PROYECTO
EJECUTADO DE ENERO A MARZO DE 2025</t>
  </si>
  <si>
    <t>Se realizó el día 21 de marrzo de  el acompañamiento en la conmemoración del Día del Síndrome de Down con la población con discapacidad a través de actividades pre deportivas, con el objetivo de brindar espacios de participación de esta población. Se relizaron torneos deportivos en conmemoración de la Virgen de la Candelaria , que beneficiaron aproximadamente a 135 personas.</t>
  </si>
  <si>
    <t xml:space="preserve">APROPIACIÓN DEFINITIVA </t>
  </si>
  <si>
    <t>EJECUCIÓN PRESUPUESTAL</t>
  </si>
  <si>
    <t>Se entregaron estímulos e incentivos a diecises  (16) organismos deportivos a través de las Resoluciones No. 045, 046,047,048, 050, 051, 052, 079,080,081,082, 083,084, 085, 103 y 104  del 2025.</t>
  </si>
  <si>
    <t>0.5</t>
  </si>
  <si>
    <r>
      <rPr>
        <b/>
        <sz val="12"/>
        <color theme="1"/>
        <rFont val="Arial"/>
        <family val="2"/>
      </rPr>
      <t>Crear la red de conocimiento científico del sector deporte:</t>
    </r>
    <r>
      <rPr>
        <sz val="12"/>
        <color theme="1"/>
        <rFont val="Arial"/>
        <family val="2"/>
      </rPr>
      <t xml:space="preserve">
Se adelantan reuniones con las diferentes universidades para crear la red de
conocimiento. Todo con el propósito de generar un espacio de diálogo permanente
con el sector académico y científico de la ciudad con el objeto de debatir sobre
problemas de interés del sector que pudiera servir para la toma de decisiones
futuras.    Generar alianzas para la producción de conocimiento científico sobre el
sector deporte.
Se trabajan en las alianzas con las universidades elaborando borradores de minuta
de proyecto especifico con la universidad mayor de bolivar, con la universidad del
sinu, con la universidad de cartagena, unipamplona y la Unad. Desarrollar encuentros científicos
Se trabaja en la organización del encuentro científico programado para el segundo
semestre del 2025. Se recomienda la articulación de los diferentes programas de fomento deportivo con el
observatorio de ciencias aplicadas para el buen desarrollo de la estrategia de
fortalecimiento del capital humano del sector.
Se propuso el desarrollo de un diplomado en deporte y recreación en asocio con la
universidad UNIMAYOR orientado al mejoramiento del capital humano al servicio del IDER.
Se trabaja en el borrador de la malla curricular de dicho diplomado.  Se realizaron actividades de apropiación  social del conocimiento en temas especificos de las  areas de deporte y recreación además de la  socialización de la nueva Ley del Entrendor, que benefició a 300 personas aproximadamente.  </t>
    </r>
  </si>
  <si>
    <t xml:space="preserve">El día 1° de marzo, se iniciaron las inscripciones a los Juegos Intercolegiados Nacionales 2025 a través de la plataforma que para tal efecto ha dispuesto el Ministerio del Deporte Colombiano, las cuales se extenderán hasta el próximo 30 de abril del corriente.
•	Se iniciaron las inscripciones a los Juegos Intercolegiados 2025, visitando a las Instituciones Educativas de Cartagena oficiales y no oficiales para incentivar la participación del cuerpo estudiantil en los Juegos, existen estudiantes atletas 429 inscritos en la plataforma </t>
  </si>
  <si>
    <t>AVANCE META PRODUCTO AL AÑO CON PONDERACION</t>
  </si>
  <si>
    <t>AVANCE META PRODUCTO AL CUATRIENIO CON PONDERACION</t>
  </si>
  <si>
    <t>AVANCE META PRODUCTO AL AÑO SIMPLE</t>
  </si>
  <si>
    <t>PRESUPUESTO EJECUTADO SEGÚN  IDER</t>
  </si>
  <si>
    <t>EJECUCION DE COMPROMISOS SEGÚN POAI SEC PLANEACION</t>
  </si>
  <si>
    <t>EJECUCION DE OBLIGACIONES SEGÚN POAI SEC PLANEACION</t>
  </si>
  <si>
    <t>% DE EJECUCIÓN PRESUPUESTAL DE LOS COMPROMISOS</t>
  </si>
  <si>
    <t>% DE EJECUCIÓN PRESUPUESTAL DE LAS OBLIGACIONES</t>
  </si>
  <si>
    <t>%AVANCE DE EJECUCION ACTIVIDADES DEL PROYECTO MARZO 2025</t>
  </si>
  <si>
    <t>Avance del proyecto Fortalecimiento de la red de Infraestructura Deportiva del Distrito de  Cartagena de Indias</t>
  </si>
  <si>
    <t xml:space="preserve">Avance presupuestal del proyecto </t>
  </si>
  <si>
    <t>Avance del proyecto Fortalecer el Sistema Deportivo Distrital orientado al fomento del Alto Rendimiento</t>
  </si>
  <si>
    <t>Avance del proyecto Fortalecimiento del conocimiento y ciencias aplicadas al sector Deporte y Recreación en Bolívar y  Cartagena de Indias</t>
  </si>
  <si>
    <t>Avance del proyecto Implementación de la Escuela de Iniciación y Formación Deportiva - EIFD en  Cartagena de Indias</t>
  </si>
  <si>
    <t>Avance del proyecto Desarrollo de una estrategia para el fortalecimiento del deporte estudiantil, universitario y la educación física extraescolar en  Cartagena de Indias</t>
  </si>
  <si>
    <t>Avance del proyecto Fortalecimiento del Deporte Social Comunitario con enfoque diferencial en el Distrito de   Cartagena de Indias</t>
  </si>
  <si>
    <t>Avance del proyecto Aprovechamiento del tiempo libre y Recreación Comunitaria para la inclusión social en  Cartagena de Indias</t>
  </si>
  <si>
    <t>Avance del proyecto Transformación de hábitos a través del fomento de la actividad física y estilos de vida saludable en  Cartagena de Indias</t>
  </si>
  <si>
    <t>Avance del proyecto Consolidación del Deporte y la Recreación como impulsores de turismo en el Distrito de  Cartagena de Indias</t>
  </si>
  <si>
    <t>Avance del proyecto Desarrollo de prácticas deportivas y recreativas dirigidas a las comunidades negras, afrocolombiana, raizales y palenquera en  Cartagena de Indias</t>
  </si>
  <si>
    <t>Avance del proyecto Integración de los cabildos indígenas a través de prácticas deportivas y recreativas en  Cartagena de Indias</t>
  </si>
  <si>
    <t>AVANCE PLAN DE ACCION IDER MARZO 31 2025</t>
  </si>
  <si>
    <t>Avance presupuestal del IDER Marzo 31 2025</t>
  </si>
  <si>
    <t>AVANCE META PRODUCTO AL CUATRIENIO CON SIMPLE</t>
  </si>
  <si>
    <t xml:space="preserve">Mantener cincuenta y cinco (55) </t>
  </si>
  <si>
    <t>x</t>
  </si>
  <si>
    <t>Manuales operativos y administrativos actualizados para el uso adecuado y mantenimiento de los escenarios deportivos.</t>
  </si>
  <si>
    <t>Acciones desarrolladas para el mantenimiento, adecuación y mejoramiento de los escenarios deportivos.</t>
  </si>
  <si>
    <t>Escenarios deportivos intervenidos mediante acciones de mantenimiento, adecuación y mejoramiento, con usuarios sensibilizados para su uso adecuado y conservación.</t>
  </si>
  <si>
    <t>Escenarios deportivos mantenidos, adecuados y mejorados dispuestos a la comunidad .</t>
  </si>
  <si>
    <t>Escenarios deportivos mantenidos, adecuados y mejorados  dispuestos a la comunidad .</t>
  </si>
  <si>
    <t>Escenarios deportivos mantenidos, adecuados y mejorados  dispuestos a la comunidad.</t>
  </si>
  <si>
    <t>Estímulos a deportistas convencionales y no convencionales entregados.</t>
  </si>
  <si>
    <t>Incentivos y/o apoyos para ligas, clubes, federaciones y otras organizaciones deportivas entregados.</t>
  </si>
  <si>
    <t xml:space="preserve">Documentos de investigación en memoria histórica asociados al sector deporte y recreación publicados </t>
  </si>
  <si>
    <t>Sistema de Información con documentos de investigación en memoria histórica Distrital del Deporte implementado.</t>
  </si>
  <si>
    <t>Alianzas estratégicas generadas para la producción de conocimiento científico y el fortalecimiento de la formación en deporte y recreación, con resultados documentados.</t>
  </si>
  <si>
    <t>Semillero de investigación de investigación sobre el sector deporte implementado</t>
  </si>
  <si>
    <t>Semillero de investigaciónde investigación sobre el sector deporte implementado</t>
  </si>
  <si>
    <t>Informe sobre la asistencia y nivel de participación de los participantes en los espacios de intercambio de conocimiento sobre deporte, recreación y actividad física.</t>
  </si>
  <si>
    <t>Material de divulgación generado de  las actividades y eventos desarrollados en el proyecto</t>
  </si>
  <si>
    <t xml:space="preserve"> Niños, niñas, jóvenes y padres inscritos y acompañados interdisciplinariamente en la Escuela de Iniciación y Formación Deportiva - EIFD.</t>
  </si>
  <si>
    <t>Núcleos de educación física extraescolar creados.</t>
  </si>
  <si>
    <t>Insumos adquiridos e implementación para el funcionamiento de los núcleos de educación física extraescolar.</t>
  </si>
  <si>
    <t>Participates de Instituciones Educativas inscritas en los Juegos Intercolegiados - Fase Distrital.</t>
  </si>
  <si>
    <t>Informe de ejecución de las competencias deportivas de los Juegos Intercolegiados - Fase Distrital, con resultados y participantes.</t>
  </si>
  <si>
    <t xml:space="preserve">Reporte y seguimiento de la participación de equipos campeones en fases departamentales, regionales y/o nacionales implementadas. </t>
  </si>
  <si>
    <t>Reporte y seguimiento de la participación en el desarrollo de las competencias de los juegos interuniversitarios.</t>
  </si>
  <si>
    <t>Personas participantes en los eventos y/o torneos del deporte social comunitario de las jornadas realizadas.</t>
  </si>
  <si>
    <t>Personas participantes en los eventos y/o torneos del deporte social comunitario de las estrategias realizadas.</t>
  </si>
  <si>
    <t>Personas participantes en los eventos y/o torneos del deporte social comunitario realizados.</t>
  </si>
  <si>
    <t>Personas participantes en las estrategias y/o actividades de recreación comunitaria desarrolladas.</t>
  </si>
  <si>
    <t>Personas participantes en las estrategias y/o actividades de recreación comunitaria implementadas.</t>
  </si>
  <si>
    <t>Personas participantes en las estrategias y/o actividades de recreación comunitaria implementadas</t>
  </si>
  <si>
    <t>Personas participantes en las estrategias y/o actividades de recreación comunitaria realizadas</t>
  </si>
  <si>
    <t xml:space="preserve">Personas participantes en las estrategias y/o actividades de recreación comunitaria realizadas </t>
  </si>
  <si>
    <t>Personas participantes a las estrategias de actividad física implementadas.</t>
  </si>
  <si>
    <t>Personas participantes a las estrategias de actividad física realizadas.</t>
  </si>
  <si>
    <t>Personas participantes a las estrategias de actividad física implementadas</t>
  </si>
  <si>
    <t>Personas participantes a las estrategias de actividad física desarrolladas.</t>
  </si>
  <si>
    <t>Documentos de alianzas generadas con entidades de enfoque turístico, orientadas a la promoción y vinculación de personas a eventos recreativos regionales, nacionales e internacionales.</t>
  </si>
  <si>
    <t>Crear seis (6) núcleos de la escuela iniciativa y formación deportiva</t>
  </si>
  <si>
    <t>Eventos recreativos comunitarios realizados</t>
  </si>
  <si>
    <r>
      <t xml:space="preserve"> </t>
    </r>
    <r>
      <rPr>
        <b/>
        <u/>
        <sz val="11"/>
        <color theme="1"/>
        <rFont val="Arial"/>
        <family val="2"/>
      </rPr>
      <t xml:space="preserve">A corte de julio de 2025:   </t>
    </r>
    <r>
      <rPr>
        <sz val="11"/>
        <color theme="1"/>
        <rFont val="Arial"/>
        <family val="2"/>
      </rPr>
      <t xml:space="preserve">Las  obras del Complejo Deportivo Nuevo Chambacú , unos de los proyectos de infraestructura más ambiciosos en materia deportiva de la actual Alcaldia de Cartagena , de acuerdo a la reportado por la Secretaria de Infraestructura completa un 31 % de la ejecución general.   </t>
    </r>
    <r>
      <rPr>
        <b/>
        <u/>
        <sz val="11"/>
        <color theme="1"/>
        <rFont val="Arial"/>
        <family val="2"/>
      </rPr>
      <t xml:space="preserve">       A corte de junio de 2025:</t>
    </r>
    <r>
      <rPr>
        <sz val="11"/>
        <color theme="1"/>
        <rFont val="Arial"/>
        <family val="2"/>
      </rPr>
      <t xml:space="preserve">     Avanzan las obras en el área de las  Ligas Menores del Complejo Deportivo Nuevo Chambacú , la cancha de fútbol 11 ya se ejecutá el cerramiento perimetral con los postes metálicos instalados en un 80% y avances clave en la viga de amarre, los camerinos y baterias sanitarias ya están estructuralmente terminados  y listos para iniciar acabadosy adecuaciones internas, el cerramiento del sector de ligas menores supera un 60% con trabajo constante en mampostería y fundidas de estructuras. La cancha de fútbol 11 se adelantán labores se cimentación, limpieza de capa vegetal  y ampliación del cerramiento , próximamente   se continuará con la impermeabilización, redes, cerramiento y dotación deportiva. </t>
    </r>
    <r>
      <rPr>
        <b/>
        <u/>
        <sz val="11"/>
        <color theme="1"/>
        <rFont val="Arial"/>
        <family val="2"/>
      </rPr>
      <t>ENERO A MAYO DE 2025</t>
    </r>
    <r>
      <rPr>
        <sz val="11"/>
        <color theme="1"/>
        <rFont val="Arial"/>
        <family val="2"/>
      </rPr>
      <t>: La zona donde avanza la construcción del Nuevo Chambacú, un complejo deportivo y recreativo de gran escala que transformará este emblemático sector de la ciudad.
En visita técnica los  lotes conocidos como Ligas Menores y Ligas Mayores, se constató que las obras preliminares —incluidas las demoliciones, cerramientos, cimentaciones y adecuación del terreno— se están ejecutando conforme al cronograma establecido.Este megaproyecto forma parte de un circuito integral de espacio público que incluye la recuperación del Parque Apolo, el fortalecimiento del Parque Espíritu del Manglar, una nueva plaza de variedades cerca de la India Catalina, y la construcción de un malecón que conectará todo el entorno.La obra será un eje clave de integración social, cultural y deportiva, articulada por varias dependencias distritales como el IDER, EPA Cartagena, Convivienda, IPCC, Secretaría General y Apoyo Logístico. El proyecto contempla una transformación urbana sin precedentes en Cartagena. Estos son algunos de los componentes más importantes:
    •Cancha de fútbol 11 con graderías e iluminación, apta para torneos de alto nivel.,     •Cancha de sóftbol diseñada para competencias locales, regionales y nacionales.     •Coliseo cubierto para deportes como baloncesto y voleibol.
    •  Skate park profesional para deportes extremos.,     •Senderos ecológicos, ideales para la caminata y la conexión con la naturaleza.,     •Parque para mascotas y zonas de recreación familiar.
    •Corredor peatonal que conectará directamente con el Parque Espíritu del Manglar.</t>
    </r>
  </si>
  <si>
    <t>REPORTE META PRODUCTO DE ENERO-SEPTIEMBRE 2025</t>
  </si>
  <si>
    <t>OBSERVACIONES A CORTE  SEPTIEMBRE DE  2025  https://idergov-my.sharepoint.com/:f:/g/personal/planeacion_ider_gov_co/Eo6fqEFvyIlFsbzJiq0zBbkBhq05_AleAKVdonLzreAc7A?e=RceM8z</t>
  </si>
  <si>
    <r>
      <rPr>
        <b/>
        <u/>
        <sz val="11"/>
        <color theme="1"/>
        <rFont val="Arial"/>
        <family val="2"/>
      </rPr>
      <t xml:space="preserve">A CORTE 15 DE SEPTIEMBRE DE 2025 : </t>
    </r>
    <r>
      <rPr>
        <sz val="11"/>
        <color theme="1"/>
        <rFont val="Arial"/>
        <family val="2"/>
      </rPr>
      <t xml:space="preserve">  1-	“Campañas y Talleres en Técnicas de Recreación” en articulación con las instituciones educativas presentamos una cifra acumulada de 1.439 personas beneficiadas, Mujeres (735) Hombres (704), 2-	“Recréate Cartagena” las acciones desarrolladas desde el proyecto, presentamos una cifra acumulada de 2.265 personas beneficiadas, Mujeres (1.279) Hombres (986),3-	“Recréate Incluyente” las acciones desarrolladas desde el proyecto, presentamos una cifra acumulada de 1.143 personas beneficiadas, Mujeres (609) Hombres (534),4-	“Instituciones Activas” las acciones desarrolladas desde el proyecto, presentamos una cifra acumulada de 17.430 personas beneficiadas, Mujeres (8.697) Hombres (8.733), 5-	“Campamentos Juveniles” las acciones desarrolladas desde el proyecto, presentamos una cifra acumulada de 2.532 personas beneficiadas, Mujeres (1.403) Hombres (1.129), 6-	“Actívate Mayor” las acciones desarrolladas desde el proyecto, presentamos una cifra acumulada de 2.088 personas beneficiadas, Mujeres (1.389) Hombres (699), 7-	“Escuela Recreativa” las acciones desarrolladas desde el proyecto, presentamos una cifra acumulada de 7.859 personas beneficiadas, Mujeres (4.951) Hombres (2.908), 8-	“Recreación para el aprovechamiento del espacio Público” las acciones desarrolladas desde el proyecto presentaron una cifra acumulada de 11.425 personas beneficiadas, Mujeres (6.171) Hombres (5.254).
   </t>
    </r>
    <r>
      <rPr>
        <b/>
        <u/>
        <sz val="11"/>
        <color theme="1"/>
        <rFont val="Arial"/>
        <family val="2"/>
      </rPr>
      <t xml:space="preserve"> A CORTE AGOSTO DE 2025:</t>
    </r>
    <r>
      <rPr>
        <b/>
        <sz val="11"/>
        <color theme="1"/>
        <rFont val="Arial"/>
        <family val="2"/>
      </rPr>
      <t xml:space="preserve"> </t>
    </r>
    <r>
      <rPr>
        <b/>
        <u/>
        <sz val="11"/>
        <color theme="1"/>
        <rFont val="Arial"/>
        <family val="2"/>
      </rPr>
      <t>INSTITUCIONES EDUCATIVAS:</t>
    </r>
    <r>
      <rPr>
        <sz val="11"/>
        <color theme="1"/>
        <rFont val="Arial"/>
        <family val="2"/>
      </rPr>
      <t xml:space="preserve">  Se da cumplimento a la estrategia en este periodo, adelantando (7) acciones. 
Magnitud Ejecutada Acumulada en este periodo (423) Pasamos de (774) personas beneficiadas a (1197). </t>
    </r>
    <r>
      <rPr>
        <b/>
        <u/>
        <sz val="11"/>
        <color theme="1"/>
        <rFont val="Arial"/>
        <family val="2"/>
      </rPr>
      <t>CARTAGENA RECREATIVA:</t>
    </r>
    <r>
      <rPr>
        <sz val="11"/>
        <color theme="1"/>
        <rFont val="Arial"/>
        <family val="2"/>
      </rPr>
      <t xml:space="preserve"> Se da cumplimento a la estrategia en este periodo, adelantando (3) acciones. 
Magnitud Ejecutada Acumulada en este periodo (233), Pasamos de (1.947) personas beneficiadas a (2.180). </t>
    </r>
    <r>
      <rPr>
        <b/>
        <u/>
        <sz val="11"/>
        <color theme="1"/>
        <rFont val="Arial"/>
        <family val="2"/>
      </rPr>
      <t>RECREACIÓN INCLUYENTE:</t>
    </r>
    <r>
      <rPr>
        <sz val="11"/>
        <color theme="1"/>
        <rFont val="Arial"/>
        <family val="2"/>
      </rPr>
      <t xml:space="preserve"> Se da cumplimento a la estrategia en este periodo, adelantando (1) acciones.
Magnitud Ejecutada Acumulada en este periodo (62) Beneficiados Pasamos de (1004) personas beneficiadas a (1066),</t>
    </r>
    <r>
      <rPr>
        <b/>
        <u/>
        <sz val="11"/>
        <color theme="1"/>
        <rFont val="Arial"/>
        <family val="2"/>
      </rPr>
      <t xml:space="preserve"> INSTITUCIONES ACTIVAS:</t>
    </r>
    <r>
      <rPr>
        <sz val="11"/>
        <color theme="1"/>
        <rFont val="Arial"/>
        <family val="2"/>
      </rPr>
      <t xml:space="preserve"> Se da cumplimento a la estrategia en este periodo, adelantando (3) acciones.
Magnitud Ejecutada Acumulada en este periodo (211) , Pasamos de (16.217) personas beneficiadas a (16.428), </t>
    </r>
    <r>
      <rPr>
        <b/>
        <u/>
        <sz val="11"/>
        <color theme="1"/>
        <rFont val="Arial"/>
        <family val="2"/>
      </rPr>
      <t xml:space="preserve">CAMPAMENTOS JUVENILES </t>
    </r>
    <r>
      <rPr>
        <sz val="11"/>
        <color theme="1"/>
        <rFont val="Arial"/>
        <family val="2"/>
      </rPr>
      <t>: Se da cumplimento a la estrategia en este periodo, adelantando (1) acciones.
Magnitud Ejecutada Acumulada en este periodo (64) , Pasamos de (2.286) personas beneficiadas a (2.350).</t>
    </r>
    <r>
      <rPr>
        <b/>
        <u/>
        <sz val="11"/>
        <color theme="1"/>
        <rFont val="Arial"/>
        <family val="2"/>
      </rPr>
      <t>ACTIVATÉ MAYOR:</t>
    </r>
    <r>
      <rPr>
        <sz val="11"/>
        <color theme="1"/>
        <rFont val="Arial"/>
        <family val="2"/>
      </rPr>
      <t xml:space="preserve"> Se da cumplimento a la estrategia en este periodo, adelantando (5) acciones.
Magnitud Ejecutada Acumulada en este periodo (243) , Pasamos de (1.220) personas beneficiadas a (1.463), </t>
    </r>
    <r>
      <rPr>
        <b/>
        <u/>
        <sz val="11"/>
        <color theme="1"/>
        <rFont val="Arial"/>
        <family val="2"/>
      </rPr>
      <t>ESCUELA RECREATIVA:</t>
    </r>
    <r>
      <rPr>
        <sz val="11"/>
        <color theme="1"/>
        <rFont val="Arial"/>
        <family val="2"/>
      </rPr>
      <t xml:space="preserve"> Las sesiones Lúdicas Permanentes en este periodo aumento a 1826 beneficiados, de los cuales 960 son mujeres y 866 son hombres. Se da cumplimento a la estrategia en este periodo, adelantando (13) acciones.Magnitud Ejecutada Acumulada en este periodo (1164) , Pasamos de (6.176) personas beneficiadas a (7.340). </t>
    </r>
    <r>
      <rPr>
        <b/>
        <u/>
        <sz val="11"/>
        <color theme="1"/>
        <rFont val="Arial"/>
        <family val="2"/>
      </rPr>
      <t xml:space="preserve">Actividades de Recreación para el Goce y Aprovechamiento del Espacio Público: </t>
    </r>
    <r>
      <rPr>
        <sz val="11"/>
        <color theme="1"/>
        <rFont val="Arial"/>
        <family val="2"/>
      </rPr>
      <t xml:space="preserve">Se da cumplimento a la estrategia en este periodo, adelantando (18) acciones. Magnitud Ejecutada Acumulada en este periodo (1.202) Beneficiados 
Pasamos de (8.362) personas beneficiadas a (9.564).
 </t>
    </r>
    <r>
      <rPr>
        <b/>
        <u/>
        <sz val="11"/>
        <color theme="1"/>
        <rFont val="Arial"/>
        <family val="2"/>
      </rPr>
      <t xml:space="preserve"> A CORTE 20 DE JULIO DE 2025 : </t>
    </r>
    <r>
      <rPr>
        <b/>
        <sz val="11"/>
        <color theme="1"/>
        <rFont val="Arial"/>
        <family val="2"/>
      </rPr>
      <t>CARTAGENA RECREATIVA :</t>
    </r>
    <r>
      <rPr>
        <sz val="11"/>
        <color theme="1"/>
        <rFont val="Arial"/>
        <family val="2"/>
      </rPr>
      <t xml:space="preserve"> Se da cumplimento a la estrategia en este periodo, adelantando (9) acciones. Magnitud Ejecutada Acumulada en este periodo (728) Pasamos de (1.219) personas beneficiadas a (1.947), R</t>
    </r>
    <r>
      <rPr>
        <b/>
        <sz val="11"/>
        <color theme="1"/>
        <rFont val="Arial"/>
        <family val="2"/>
      </rPr>
      <t>ECREACIÓN INCLUYENTE</t>
    </r>
    <r>
      <rPr>
        <sz val="11"/>
        <color theme="1"/>
        <rFont val="Arial"/>
        <family val="2"/>
      </rPr>
      <t>: Se da cumplimento a la estrategia en este periodo, adelantando (4) acciones. Magnitud Ejecutada Acumulada en este periodo (139) Beneficiados
Pasamos de (865) personas beneficiadas a (1004), I</t>
    </r>
    <r>
      <rPr>
        <b/>
        <sz val="11"/>
        <color theme="1"/>
        <rFont val="Arial"/>
        <family val="2"/>
      </rPr>
      <t xml:space="preserve">NSTITUCIONES ACTIVAS: </t>
    </r>
    <r>
      <rPr>
        <sz val="11"/>
        <color theme="1"/>
        <rFont val="Arial"/>
        <family val="2"/>
      </rPr>
      <t xml:space="preserve">Se da cumplimento a la estrategia en este periodo, adelantando (2) acciones. Magnitud Ejecutada Acumulada en este periodo (139) Pasamos de (16.078) personas beneficiadas a (16.217), </t>
    </r>
    <r>
      <rPr>
        <b/>
        <sz val="11"/>
        <color theme="1"/>
        <rFont val="Arial"/>
        <family val="2"/>
      </rPr>
      <t>CAMPAMENTOS JUVENILES</t>
    </r>
    <r>
      <rPr>
        <sz val="11"/>
        <color theme="1"/>
        <rFont val="Arial"/>
        <family val="2"/>
      </rPr>
      <t xml:space="preserve"> : Se da cumplimento a la estrategia en este periodo, adelantando (4) acciones. Magnitud Ejecutada Acumulada en este periodo (247) Pasamos de (2.039) personas beneficiadas a (2.286), </t>
    </r>
    <r>
      <rPr>
        <b/>
        <sz val="11"/>
        <color theme="1"/>
        <rFont val="Arial"/>
        <family val="2"/>
      </rPr>
      <t xml:space="preserve">ACTIVATE MAYOR: </t>
    </r>
    <r>
      <rPr>
        <sz val="11"/>
        <color theme="1"/>
        <rFont val="Arial"/>
        <family val="2"/>
      </rPr>
      <t xml:space="preserve">Se da cumplimento a la estrategia en este periodo, adelantando (5) acciones. Magnitud Ejecutada Acumulada en este periodo (233) 
Pasamos de (987) personas beneficiadas a (1.220), </t>
    </r>
    <r>
      <rPr>
        <b/>
        <sz val="11"/>
        <color theme="1"/>
        <rFont val="Arial"/>
        <family val="2"/>
      </rPr>
      <t>ESCUELA RECREATIVA</t>
    </r>
    <r>
      <rPr>
        <sz val="11"/>
        <color theme="1"/>
        <rFont val="Arial"/>
        <family val="2"/>
      </rPr>
      <t xml:space="preserve">: Se mantiene el número de beneficiados en las sesiones lúdicas permanentes de este periodo con 1602 beneficiados, de los cuales 833 son mujeres y 769 son hombres. Se da cumplimento a la estrategia en este periodo, adelantando (7) acciones. Magnitud Ejecutada Acumulada en este periodo (812) Pasamos de (5.364) personas beneficiadas a (6.176), Actividades de Recreación para el Goce y Aprovechamiento del Espacio Público. Se da cumplimento a la estrategia en este periodo, adelantando (18) acciones. Magnitud Ejecutada Acumulada en este periodo (1.096) Beneficiados Pasamos de (7.266) personas beneficiadas a (8.362) . </t>
    </r>
    <r>
      <rPr>
        <b/>
        <u/>
        <sz val="11"/>
        <color theme="1"/>
        <rFont val="Arial"/>
        <family val="2"/>
      </rPr>
      <t>A corte 20 de junio de 2025:-</t>
    </r>
    <r>
      <rPr>
        <sz val="11"/>
        <color theme="1"/>
        <rFont val="Arial"/>
        <family val="2"/>
      </rPr>
      <t xml:space="preserve">	34.493 personas participantes 18.632 Mujeres y 15.861 Hombre en las estrategias y/o actividades de Aprovechamiento del Tiempo Libre y la Recreación Comunitaria para la Inclusión Social en el Distrito de Cartagena. C</t>
    </r>
    <r>
      <rPr>
        <b/>
        <sz val="11"/>
        <color theme="1"/>
        <rFont val="Arial"/>
        <family val="2"/>
      </rPr>
      <t xml:space="preserve">ARTAGENA RECREATIVA: </t>
    </r>
    <r>
      <rPr>
        <sz val="11"/>
        <color theme="1"/>
        <rFont val="Arial"/>
        <family val="2"/>
      </rPr>
      <t>Se da cumplimento a la estrategia en este periodo, adelantando (4) acciones. 
Magnitud Ejecutada Acumulada en este periodo (293) Pasamos de (926) personas beneficiadas a (1219) ,</t>
    </r>
    <r>
      <rPr>
        <b/>
        <sz val="11"/>
        <color theme="1"/>
        <rFont val="Arial"/>
        <family val="2"/>
      </rPr>
      <t xml:space="preserve"> RECREACIÓN INCLUYENTE</t>
    </r>
    <r>
      <rPr>
        <sz val="11"/>
        <color theme="1"/>
        <rFont val="Arial"/>
        <family val="2"/>
      </rPr>
      <t>: Se da cumplimento a la estrategia en este periodo, adelantando (3) acciones.Magnitud Ejecutada Acumulada en este periodo (281) Beneficiados Pasamos de (584) personas beneficiadas a (865) ,  I</t>
    </r>
    <r>
      <rPr>
        <b/>
        <sz val="11"/>
        <color theme="1"/>
        <rFont val="Arial"/>
        <family val="2"/>
      </rPr>
      <t>NSTITUCIONES ACTIVAS:</t>
    </r>
    <r>
      <rPr>
        <sz val="11"/>
        <color theme="1"/>
        <rFont val="Arial"/>
        <family val="2"/>
      </rPr>
      <t xml:space="preserve"> Se da cumplimento a la estrategia en este periodo, adelantando (9) acciones.Magnitud Ejecutada Acumulada en este periodo (1839) Pasamos de (14.239) personas beneficiadas a (16078),, </t>
    </r>
    <r>
      <rPr>
        <b/>
        <sz val="11"/>
        <color theme="1"/>
        <rFont val="Arial"/>
        <family val="2"/>
      </rPr>
      <t xml:space="preserve">CAMPAMENTOS JUVENILES </t>
    </r>
    <r>
      <rPr>
        <sz val="11"/>
        <color theme="1"/>
        <rFont val="Arial"/>
        <family val="2"/>
      </rPr>
      <t xml:space="preserve">:Se da cumplimento a la estrategia en este periodo, adelantando (2) acciones.Magnitud Ejecutada Acumulada en este periodo (639) Pasamos de (1400) personas beneficiadas a (2039), </t>
    </r>
    <r>
      <rPr>
        <b/>
        <sz val="11"/>
        <color theme="1"/>
        <rFont val="Arial"/>
        <family val="2"/>
      </rPr>
      <t xml:space="preserve">ACTIVATE MAYOR : </t>
    </r>
    <r>
      <rPr>
        <sz val="11"/>
        <color theme="1"/>
        <rFont val="Arial"/>
        <family val="2"/>
      </rPr>
      <t xml:space="preserve">Se da cumplimento a la est. rategia en este periodo, adelantando (13) acciones.Magnitud Ejecutada Acumulada en este periodo (696) Pasamos de (291) personas beneficiadas a (987), </t>
    </r>
    <r>
      <rPr>
        <b/>
        <sz val="11"/>
        <color theme="1"/>
        <rFont val="Arial"/>
        <family val="2"/>
      </rPr>
      <t>ESCUELA RECREATIVA.</t>
    </r>
    <r>
      <rPr>
        <sz val="11"/>
        <color theme="1"/>
        <rFont val="Arial"/>
        <family val="2"/>
      </rPr>
      <t>Se mantiene el número de beneficiados en las sesiones lúdicas permanentes de este periodo con 1602 beneficiados, de los cuales 833 son mujeres y 769 son hombres.Se da cumplimento a la estrategia en este periodo, adelantando (11) acciones.Magnitud Ejecutada Acumulada en este periodo (705) Pasamos de (4659) personas beneficiadas a (5.364)</t>
    </r>
    <r>
      <rPr>
        <b/>
        <sz val="11"/>
        <color theme="1"/>
        <rFont val="Arial"/>
        <family val="2"/>
      </rPr>
      <t>,ACTIVIDADES DE RECREACIÓN PARA EL GOCE Y APROVECHAMIENTO DEL ESPACIO PUBLICO:</t>
    </r>
    <r>
      <rPr>
        <sz val="11"/>
        <color theme="1"/>
        <rFont val="Arial"/>
        <family val="2"/>
      </rPr>
      <t>Se da cumplimento a la estrategia en este periodo, adelantando (18) acciones.Magnitud Ejecutada Acumulada en este periodo (2221) Beneficiados Pasamos de (5045) personas beneficiadas a (7.266).</t>
    </r>
    <r>
      <rPr>
        <b/>
        <u/>
        <sz val="11"/>
        <color theme="1"/>
        <rFont val="Arial"/>
        <family val="2"/>
      </rPr>
      <t xml:space="preserve">A corte 10 de junio de 2025: </t>
    </r>
    <r>
      <rPr>
        <sz val="11"/>
        <color theme="1"/>
        <rFont val="Arial"/>
        <family val="2"/>
      </rPr>
      <t>Proyecto Aprovechamiento del Tiempo Libre y la Recreación Comunitaria para la Inclusión Social en el Distrito de Cartagena de Indias. Para dar cumplimiento a este proyecto desde el área se implementaron las siguientes estrategias: 1- “Campañas y Talleres en Técnicas de Recreación” en articulación con las instituciones educativas presentamos una cifra acumulada de 109 personas beneficiadas, Mujeres (63) Hombres (46) 2- “Recréate Cartagena” las acciones desarrolladas desde el proyecto, presentamos una cifra acumulada de 1034 personas beneficiadas, Mujeres (611) Hombres (423) 3- “Recréate Incluyente” las acAciones desarrolladas desde el proyecto, presentamos una cifra acumulada de 824 personas beneficiadas, Mujeres (401) Hombres (423) 4- “Instituciones Activas” las acciones desarrolladas desde el proyecto, presentamos una cifra acumulada de 15.322 personas beneficiadas, Mujeres (7.585) Hombres (7.737) 5- “Campamentos Juveniles” las acciones desarrolladas desde el proyecto, presentamos una cifra acumulada de 2.021 personas beneficiadas, Mujeres (1.123) Hombres (898) 6- “Actívate Mayor” las acciones desarrolladas desde el proyecto, presentamos una cifra acumulada de 699 personas beneficiadas, Mujeres (487) Hombres (212).7- “Escuela Recreativa” las acciones desarrolladas desde el proyecto, presentamos una cifraacumulada de 5.079 personas beneficiadas, Mujeres (3.161) Hombres (1.918) 8- “Recreación apara el aprovechamiento del espacio Público” las acciones desarrolladas desdeel proyecto, presentaron una cifra acumulada de 6.770 personas beneficiadas, Mujeres (3.750) Hombres (3.020) Nota: Reportamos de forma especial la Ciclovía de Ciudad, realizada en el Barrio 13 de junio, con un total de 240 personas asistentes. Mujeres (107) Hombres (133). Estadísticas que se encuentran inmersas en lascifras de Aprovechamiento del Espacio Público.</t>
    </r>
  </si>
  <si>
    <r>
      <rPr>
        <b/>
        <u/>
        <sz val="11"/>
        <color theme="1"/>
        <rFont val="Arial"/>
        <family val="2"/>
      </rPr>
      <t>A CORTE 15 DE SEPTIEMBRE DE 2025</t>
    </r>
    <r>
      <rPr>
        <sz val="11"/>
        <color theme="1"/>
        <rFont val="Arial"/>
        <family val="2"/>
      </rPr>
      <t>:1.“Campañas de sensibilización sobre temas relacionados con enfermedades crónicas no transmisibles y sus factores de riesgo”: En este periodo hemos dado cumplimiento al cronograma de actividades proyectadas, adelantando las campañas de “Cartagena es Violeta” donde se movilizaron más de 3.350 personas, campaña de “Hipertensión y Prevención del Consumo de Tabaco” logramos sensibilizar a más de 763 personas, Campaña de “Lactancia Materna” llegamos a 847 madres gestantes y lactantes, Campaña de “Obesidad” logramos beneficiar a 538 personas, Campaña “Salud Mental” beneficiando a 194 personas., 2.	“Entornos Saludables”: Empresa Saludable 5.893 beneficiadosCentros Penitenciarios y Carcelarios 587 beneficiados, Ambientes Saludables 2.061, Plogging 400 beneficiados, Actívate Gestante 448, En total se han podido beneficiar (9.389) personas, de los cuales 7.577 fueron mujeres y 1.812 fueron hombres, 3.	“Intégrate por tu Salud”
3.1	Aquaeróbic: reporta un total de (697) personas participantes de los cuales 666 fueron mujeres y 31 fueron hombres
3.2	Jóvenes de Especial Atención: registra un total de (230) jóvenes atendidos en la Fundación Talid, Hogares Crea y Construyendo Ciudad, todos fueron hombres.                                                                                 
4.	“Pasos Saludables”: 4.1	Caminante Saludable: se reporta un total de (217) personas registradas, de los cuales 192 son mujeres y 25 hombres. Puntos activos (9), 4.2	Actívate Running: se reporta un total de (152) personas registradas, de los cuales 115 son mujeres y 37 hombres. Puntos Activos (4), 4.3	Actívate en el Parque: se reporta un total de (706) personas impactadas, de los cuales 637 son mujeres y 69 son hombres. Puntos Activos (14), Pasos saludables,4.4	Actívate Rodando: en el momento no se cuenta con ningún punto activo, a la espera de la contratación de la persona idónea para el desarrollo de la estrategia..
5.	“Vida Activa”:5.1	Madrúgale a la Salud: se reporta un total de (2.586) personas registradas, de los cuales 2.360, son mujeres y 226 son hombres y con (52) puntos de actividad física activos., 5.2	Noches Saludables: reporta un total de (2.445) personas registradas, de los cuales 2.376 son mujeres y 69 son hombres y (49) puntos de actividad física activos., 5.3	Joven Saludable: reportamos un total de (466) jóvenes registrados, de los cuales 325 son mujeres y 141 son hombres y (9) núcleos activos.
Eventos:1.	Eventos de Concentración: se han realizado 63 con un total de 8.842 personas participantes de las cuales 8.442 han sido mujeres y 400 hombres.Se realizo el día 24 de mayo en el Campo de Sóftbol del Corregimiento de La Boquilla el Evento de Concentración Actívate en tu Corregimiento, con la presencia de 180 usuarios de los puntos de actividad física de MS La Boquilla, MS Puerto Rey, MS Bayunca, NS Arroyo de Piedra, NS Tierra Baja, NS Punta Canoa, NS Bayunca y NS Pontezuela.
2.	Eventos de promoción: se han realizado 91 con un total de 5.196 personas participantes de las cuales 4.813 han sido mujeres y 383 hombres, 3.	Eventos con Empresas: se han realizado 6 con un total de 2.061 personas participantes, de las cuales 1.194. han sido mujeres y 867 fueron hombres.</t>
    </r>
    <r>
      <rPr>
        <b/>
        <u/>
        <sz val="11"/>
        <color theme="1"/>
        <rFont val="Arial"/>
        <family val="2"/>
      </rPr>
      <t>A CORTE AGOSTO DE 2025: "Entornos Saludables"</t>
    </r>
    <r>
      <rPr>
        <sz val="11"/>
        <color theme="1"/>
        <rFont val="Arial"/>
        <family val="2"/>
      </rPr>
      <t>: Se da cumplimento a la estrategia en este periodo, adelantando (36) acciones., Magnitud Ejecutada en este período es de (2.146), pasamos de (7.047) a (9.193) personas beneficiadas.</t>
    </r>
    <r>
      <rPr>
        <b/>
        <u/>
        <sz val="11"/>
        <color theme="1"/>
        <rFont val="Arial"/>
        <family val="2"/>
      </rPr>
      <t xml:space="preserve"> “Intégrate por tu Salud”:  </t>
    </r>
    <r>
      <rPr>
        <sz val="11"/>
        <color theme="1"/>
        <rFont val="Arial"/>
        <family val="2"/>
      </rPr>
      <t>Se da cumplimento a la estrategia en este periodo, adelantando (4) Acciones. 
Magnitud Ejecutada en este periodo (170) se pasa de (542) a (712) personas beneficiadas.</t>
    </r>
    <r>
      <rPr>
        <b/>
        <u/>
        <sz val="11"/>
        <color theme="1"/>
        <rFont val="Arial"/>
        <family val="2"/>
      </rPr>
      <t xml:space="preserve">“Pasos Saludables": </t>
    </r>
    <r>
      <rPr>
        <sz val="11"/>
        <color theme="1"/>
        <rFont val="Arial"/>
        <family val="2"/>
      </rPr>
      <t>Se da cumplimento a la estrategia en este periodo, adelantando (3) Acciones. 
Magnitud Ejecutada Acumulada en este periodo (67) se aumenta de (1.009) a (1.076) personas beneficiadas.</t>
    </r>
    <r>
      <rPr>
        <b/>
        <u/>
        <sz val="11"/>
        <color theme="1"/>
        <rFont val="Arial"/>
        <family val="2"/>
      </rPr>
      <t xml:space="preserve">“Vida Activa”: </t>
    </r>
    <r>
      <rPr>
        <sz val="11"/>
        <color theme="1"/>
        <rFont val="Arial"/>
        <family val="2"/>
      </rPr>
      <t>Se da cumplimento a la estrategia en este periodo, adelantando (3) acciones. 
Magnitud Ejecutada Acumulada en este periodo (83) pasamos de (5.414) a (5.497), -La meta del cuatrienio (2024 – 2027) en Eventos de Concentración es de 720, se tiene un acumulado del año anterior de 145 eventos realizados.
-	La meta del cuatrienio (2024 – 2027) en Eventos de Promoción es de 600, se tiene un acumulado del año pasado de 118 eventos ejecutados.
Se da cumplimento a la estrategia en este periodo, adelantando (2) acciones. Magnitud Ejecutada Acumulada en este periodo para Eventos de Concentración es del (35,00%), se realizaron 4 eventos y se impactaron un total de (389) personas.</t>
    </r>
    <r>
      <rPr>
        <b/>
        <u/>
        <sz val="11"/>
        <color theme="1"/>
        <rFont val="Arial"/>
        <family val="2"/>
      </rPr>
      <t xml:space="preserve">A CORTE 20 DE JULIO DE  2025: </t>
    </r>
    <r>
      <rPr>
        <b/>
        <sz val="11"/>
        <color theme="1"/>
        <rFont val="Arial"/>
        <family val="2"/>
      </rPr>
      <t xml:space="preserve"> </t>
    </r>
    <r>
      <rPr>
        <b/>
        <u/>
        <sz val="11"/>
        <color theme="1"/>
        <rFont val="Arial"/>
        <family val="2"/>
      </rPr>
      <t>ENTORNES SALUDABLES:</t>
    </r>
    <r>
      <rPr>
        <sz val="11"/>
        <color theme="1"/>
        <rFont val="Arial"/>
        <family val="2"/>
      </rPr>
      <t xml:space="preserve"> Se da cumplimento a la estrategia en este periodo, adelantando (24) acciones. Magnitud Ejecutada en este período es de (1.319), pasamos de (5.728) a (7.047) personas beneficiadas. </t>
    </r>
    <r>
      <rPr>
        <b/>
        <u/>
        <sz val="11"/>
        <color theme="1"/>
        <rFont val="Arial"/>
        <family val="2"/>
      </rPr>
      <t xml:space="preserve">INTEGRATE POR TU SALUD: </t>
    </r>
    <r>
      <rPr>
        <sz val="11"/>
        <color theme="1"/>
        <rFont val="Arial"/>
        <family val="2"/>
      </rPr>
      <t xml:space="preserve">Se da cumplimento a la estrategia en este periodo, adelantando (4) Acciones. Magnitud Ejecutada en este periodo (171) se pasa de (371) a (542) personas beneficiadas.     </t>
    </r>
    <r>
      <rPr>
        <b/>
        <u/>
        <sz val="11"/>
        <color theme="1"/>
        <rFont val="Arial"/>
        <family val="2"/>
      </rPr>
      <t>PASOS SALUDABLES:</t>
    </r>
    <r>
      <rPr>
        <sz val="11"/>
        <color theme="1"/>
        <rFont val="Arial"/>
        <family val="2"/>
      </rPr>
      <t xml:space="preserve"> Se da cumplimento a la estrategia en este periodo, adelantando (3) Acciones. 
Magnitud Ejecutada Acumulada en este periodo (92) se aumenta de (917) a (1.009) personas beneficiadas. </t>
    </r>
    <r>
      <rPr>
        <b/>
        <u/>
        <sz val="11"/>
        <color theme="1"/>
        <rFont val="Arial"/>
        <family val="2"/>
      </rPr>
      <t>VIDA SALUDABLE</t>
    </r>
    <r>
      <rPr>
        <sz val="11"/>
        <color theme="1"/>
        <rFont val="Arial"/>
        <family val="2"/>
      </rPr>
      <t xml:space="preserve">: Se da cumplimento a la estrategia en este periodo, adelantando (3) acciones. Magnitud Ejecutada Acumulada en este periodo (430) pasamos de (4.984) a (5.414).  </t>
    </r>
    <r>
      <rPr>
        <b/>
        <u/>
        <sz val="11"/>
        <color theme="1"/>
        <rFont val="Arial"/>
        <family val="2"/>
      </rPr>
      <t>A CORTE 20 DE JUNIO DE 2025: ENTORNOS SALUDABLES : S</t>
    </r>
    <r>
      <rPr>
        <sz val="11"/>
        <color theme="1"/>
        <rFont val="Arial"/>
        <family val="2"/>
      </rPr>
      <t xml:space="preserve">e da cumplimento a la estrategia en este periodo, adelantando (17) acciones. Magnitud Ejecutada en este periodo es de (856), pasamos de (4.872) a (5.728) personas beneficiadas., </t>
    </r>
    <r>
      <rPr>
        <b/>
        <u/>
        <sz val="11"/>
        <color theme="1"/>
        <rFont val="Arial"/>
        <family val="2"/>
      </rPr>
      <t>INTEGRATÉ POR TU SALUD</t>
    </r>
    <r>
      <rPr>
        <sz val="11"/>
        <color theme="1"/>
        <rFont val="Arial"/>
        <family val="2"/>
      </rPr>
      <t xml:space="preserve">: Se da cumplimento a la estrategia en este periodo, adelantando (4) Acciones. Magnitud Ejecutada en este periodo (130) se pasa de (153) a (283) personas beneficiadas., </t>
    </r>
    <r>
      <rPr>
        <b/>
        <u/>
        <sz val="11"/>
        <color theme="1"/>
        <rFont val="Arial"/>
        <family val="2"/>
      </rPr>
      <t>PASOS SALUDABLES: S</t>
    </r>
    <r>
      <rPr>
        <sz val="11"/>
        <color theme="1"/>
        <rFont val="Arial"/>
        <family val="2"/>
      </rPr>
      <t>e da cumplimento a la estrategia en este periodo, adelantando (3) Acciones. Magnitud Ejecutada Acumulada en este periodo (9) se aumenta de (908) a (917) personas beneficiadas</t>
    </r>
    <r>
      <rPr>
        <b/>
        <u/>
        <sz val="11"/>
        <color theme="1"/>
        <rFont val="Arial"/>
        <family val="2"/>
      </rPr>
      <t xml:space="preserve">. VIDA ACTIVA: </t>
    </r>
    <r>
      <rPr>
        <sz val="11"/>
        <color theme="1"/>
        <rFont val="Arial"/>
        <family val="2"/>
      </rPr>
      <t xml:space="preserve">Se da cumplimento a la estrategia en este periodo, adelantando (4) acciones. Magnitud Ejecutada Acumulada en este periodo (198) pasamos de (4.786) a (4.984), </t>
    </r>
    <r>
      <rPr>
        <b/>
        <u/>
        <sz val="11"/>
        <color theme="1"/>
        <rFont val="Arial"/>
        <family val="2"/>
      </rPr>
      <t xml:space="preserve"> A CORTE 10 DE JUNIO DE 2025: </t>
    </r>
    <r>
      <rPr>
        <b/>
        <sz val="11"/>
        <color theme="1"/>
        <rFont val="Arial"/>
        <family val="2"/>
      </rPr>
      <t xml:space="preserve">Proyecto Transformación de Hábitos a Través del Fomento de la Actividad Física y Estilos de Vida Saludable en el Distrito de Cartagena. Dando cumplimiento a este proyecto desde el área se implementaron las siguientes estrategias en la vigencia comprendida entre enero – junio 10 de 2025 </t>
    </r>
    <r>
      <rPr>
        <sz val="11"/>
        <color theme="1"/>
        <rFont val="Arial"/>
        <family val="2"/>
      </rPr>
      <t xml:space="preserve">1. “Campañas de sensibilización sobre temas relacionados con enfermedades crónicas no transmisibles y sus factores de riesgo”: En este periodo hemos dado cumplimiento al cronograma de actividades proyectadas, adelantando las campañas de “Cartagena es Violeta” donde se movilizaron más de 3.350 personas y la campaña de “Hipertensión y Prevención del Consumo de Tabaco” logramos sensibilizar a más de 763 personas. 2. “Entornos Saludables”: Con sus acciones Empresa Saludable, Centros Penitenciarios y Carcelarios, Ambientes Saludables, Plogging y Actívate Gestante, se lograron beneficiar (5.200) personas, de los cuales 3.046 fueron mujeres y 2.154 fueron hombres 3. “Intégrate por tu Salud” 3.1 Aquaeróbic: reporta un total de (153) personas participantes. de los cuales 140 fueron mujeres y 13 fueron hombres 3.2 Jóvenes de Especial Atención: registra un total de (35) jóvenes atendidos en la Fundación Talid, Hogares Crea y Construyendo Ciudad, de los cuales 35 fueron hombres 4. “Pasos Saludables”: 4.1 Caminante Saludable: se reporta un total de (210) personas registradas, de los cuales 178 son mujeres y 32 hombres. 4.2 Actívate Running: reporta un total de (94) personas registradas, de los cuales 87 son mujeres y 7 hombres.  4.3 Actívate en el Parque: La Estrategia reporta un total de (604) personas impactadas, de los cuales 541 son mujeres y 63 son hombres. 4.4 Actívate Rodando: en el momento no se cuenta con ningún punto activo, a la espera de la contratación de la persona idónea para desarrollar la acción. 5. “Vida Activa”: 5.1 Madrúgale a la Salud: se reporta un total de (2.199) personas registradas, de los cuales 2.071 son mujeres y 128 son hombres y con (54) puntos de actividad física activos. 5.2 Noches Saludables: reporta un total de (2.245) personas registradas, de los cuales 2.181 son mujeres y 64 son hombres y (66) puntos de actividad física activos. 5.3 Joven Saludable: reportamos un total de (342) jóvenes registrados, de los cuales 246 son mujeres y 96 son hombres y (12) núcleos activos.Eventos: 1. Eventos de Concentración: se han realizado 42 con un total de 5.848 personas participantes de las cuales 5.586 han sido mujeres y 262 hombres. Se realizo el día 24 de mayo en el Campo de Sóftbol del Corregimiento de La Boquilla el Evento de Concentración Actívate en tu Corregimiento, con la presencia de 180 usuarios de los puntos de actividad física de MS La Boquilla, MS Puerto Rey, MS Bayunca, NS Arroyo de Piedra, NS Tierra Baja, NS Punta Canoa, NS Bayunca y NS Pontezuela. 2. Eventos de promoción: se han realizado 31 con un total de 1.577 personas participantes de las cuales 1.420 han sido mujeres y 157 hombres. </t>
    </r>
  </si>
  <si>
    <r>
      <rPr>
        <b/>
        <u/>
        <sz val="11"/>
        <color theme="1"/>
        <rFont val="Arial"/>
        <family val="2"/>
      </rPr>
      <t>A corte 15 de septiembre se reporta: 
Atenciones periódicas 
•</t>
    </r>
    <r>
      <rPr>
        <sz val="11"/>
        <color theme="1"/>
        <rFont val="Arial"/>
        <family val="2"/>
      </rPr>
      <t xml:space="preserve">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de la universidad de san buenaventura- Martes y viernes del mes, El equipo psicosocial de la escuela ha apoyado actividades en el mes de septiembre:
Se ha trabajado en el periodo atención presencial en los puntos establecidos para facilitar a los usuarios el proceso y a su vez se han realizado intervenciones y seguimientos a los NNA a cargo del equipo psicosocial de la escuela; así mismo el acompañamiento interdisciplinar a los NNA adolescentes y padres pertenecientes a la Escuela, así mismo: 1.	Apoyo logístico a competencias de Juegos Intercolegiados En Fase Distrital 3 de septiembre de 2025, 2.	Apoyo, acompañamiento y supervisión a estudiantes de Medicina Familiar- Uninuñez, martes y miércoles de todo el mes, 3.	Apoyo a Torneo Internacional De Tenis, 1,2 y 3 de septiembre , 4.	Supervisión, acompañamiento y supervisan a practicantes de psicología universidad de san buenaventura, lunes, miércoles y viernes del mes., 5.	Apoyo en recuperación física a stand en ironman 5.50. - 07-09-2025 , 6.	Presentación de Oferta Institucional En Gobierno Al Barrio La Boquilla - 09-09-2025 , 7.	Apoyo, asistencia y participación a Anima Fest- 13 y 14 de septiembre , 8.	Apoyo a recuperación a carrera Family Run- 14-09-2025
</t>
    </r>
    <r>
      <rPr>
        <b/>
        <u/>
        <sz val="11"/>
        <color theme="1"/>
        <rFont val="Arial"/>
        <family val="2"/>
      </rPr>
      <t xml:space="preserve">
A corte 31 de agosto se reporta: A corte 31 de agosto se reporta: 
Atenciones periódicas 
</t>
    </r>
    <r>
      <rPr>
        <sz val="11"/>
        <color theme="1"/>
        <rFont val="Arial"/>
        <family val="2"/>
      </rPr>
      <t xml:space="preserve">•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t>
    </r>
    <r>
      <rPr>
        <b/>
        <u/>
        <sz val="11"/>
        <color theme="1"/>
        <rFont val="Arial"/>
        <family val="2"/>
      </rPr>
      <t xml:space="preserve">A corte 31 de agosto se reporta: 
</t>
    </r>
    <r>
      <rPr>
        <b/>
        <sz val="11"/>
        <color theme="1"/>
        <rFont val="Arial"/>
        <family val="2"/>
      </rPr>
      <t xml:space="preserve">•	</t>
    </r>
    <r>
      <rPr>
        <sz val="11"/>
        <color theme="1"/>
        <rFont val="Arial"/>
        <family val="2"/>
      </rPr>
      <t xml:space="preserve">En este periodo en la escuela de iniciación y formación deportiva se cuenta con 6435 Niños, niñas, adolescentes y Jóvenes inscritos. •	En los niveles de Iniciación Y Formación, para un total de 4.630 NNA beneficiarios de las 3 localidades (Loc1= 1298- Loc2=2040 – Loc3 = 1292) al corte del mes.  •	El nivel de Énfasis vinculado a 1630 niños, niñas, adolescentes y jóvenes inscritos. •	El nivel de Perfeccionamiento vinculado a 175  jóvenes inscritos. </t>
    </r>
    <r>
      <rPr>
        <b/>
        <sz val="11"/>
        <color theme="1"/>
        <rFont val="Arial"/>
        <family val="2"/>
      </rPr>
      <t>A</t>
    </r>
    <r>
      <rPr>
        <b/>
        <u/>
        <sz val="11"/>
        <color theme="1"/>
        <rFont val="Arial"/>
        <family val="2"/>
      </rPr>
      <t xml:space="preserve"> corte 31 de julio se reporta: </t>
    </r>
    <r>
      <rPr>
        <sz val="11"/>
        <color theme="1"/>
        <rFont val="Arial"/>
        <family val="2"/>
      </rPr>
      <t xml:space="preserve">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t>
    </r>
    <r>
      <rPr>
        <b/>
        <u/>
        <sz val="11"/>
        <color theme="1"/>
        <rFont val="Arial"/>
        <family val="2"/>
      </rPr>
      <t>A corte 31 de julio se reporta: 
•</t>
    </r>
    <r>
      <rPr>
        <sz val="11"/>
        <color theme="1"/>
        <rFont val="Arial"/>
        <family val="2"/>
      </rPr>
      <t xml:space="preserve">	Para este periodo se cerró el link para el proceso de inscripción en los núcleos en procesos de los niveles de Iniciación Y Formación, para un total de 4.630 NNA beneficiarios de las 3 localidades (Loc1= 1298- Loc2=2040 – Loc3 = 1292) al corte del mes. 
•	Para este periodo se cerró el proceso de inscripción el nivel de Énfasis vinculado a 1630 niños, niñas, adolescentes y jóvenes inscritos.
•	Para este periodo se cerró el proceso de nivel de Perfeccionamiento vinculado a 175  jóvenes inscritos. </t>
    </r>
    <r>
      <rPr>
        <b/>
        <u/>
        <sz val="11"/>
        <color theme="1"/>
        <rFont val="Arial"/>
        <family val="2"/>
      </rPr>
      <t xml:space="preserve">A corte 30 de junio se reporta: 
</t>
    </r>
    <r>
      <rPr>
        <b/>
        <sz val="11"/>
        <color theme="1"/>
        <rFont val="Arial"/>
        <family val="2"/>
      </rPr>
      <t xml:space="preserve">•	</t>
    </r>
    <r>
      <rPr>
        <sz val="11"/>
        <color theme="1"/>
        <rFont val="Arial"/>
        <family val="2"/>
      </rPr>
      <t>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t>
    </r>
    <r>
      <rPr>
        <b/>
        <u/>
        <sz val="11"/>
        <color theme="1"/>
        <rFont val="Arial"/>
        <family val="2"/>
      </rPr>
      <t xml:space="preserve">os.
</t>
    </r>
    <r>
      <rPr>
        <sz val="11"/>
        <color theme="1"/>
        <rFont val="Arial"/>
        <family val="2"/>
      </rPr>
      <t>A corte este periodo se encuentran mantenidos 55 núcleos de Iniciación y Formación Deportiva, en las tres localidades del Distrito de Cartagena.</t>
    </r>
  </si>
  <si>
    <r>
      <rPr>
        <b/>
        <u/>
        <sz val="11"/>
        <color theme="1"/>
        <rFont val="Arial"/>
        <family val="2"/>
      </rPr>
      <t>A corte 15 de septiembre se reporta: 
•</t>
    </r>
    <r>
      <rPr>
        <sz val="11"/>
        <color theme="1"/>
        <rFont val="Arial"/>
        <family val="2"/>
      </rPr>
      <t xml:space="preserve">	Se está a la espera del inicio de la segunda fase de los Juegos Intercolegiados, que corresponde a la Fase Departamental se proyecta inicio del 17 al 19 de septiembre en San Jacinto, San Juan Nepomuceno y El Carmen de Bolívar, organizada por el Instituto Departamental de Deporte y Recreación Iderbol, Apoyada por Ider, MINdeporte  </t>
    </r>
    <r>
      <rPr>
        <b/>
        <u/>
        <sz val="11"/>
        <color theme="1"/>
        <rFont val="Arial"/>
        <family val="2"/>
      </rPr>
      <t xml:space="preserve">.A corte 31 de agosto se reporta: 
</t>
    </r>
    <r>
      <rPr>
        <sz val="11"/>
        <color theme="1"/>
        <rFont val="Arial"/>
        <family val="2"/>
      </rPr>
      <t xml:space="preserve">•	En este periodo se están desarrollando las competencias correspondientes a cada uno de los deportes y modalidades deportivas convocadas por el Ministerio del Deporte y que cumplieron con la normatividad correspondiente al número mínimo de Instituciones Educativas o Atletas inscritos, así: Ajedrez, Atletismo,Bádminton,Baloncesto, Béisbol, Boxeo, Fútbol , Fútbol de Salón, Fútbol Sala, Gimnasia, Judo, Karate Do, Levantamiento de Pesas, Lucha, Natación, Patinaje, Softbol, Taekwondo, Tenis, Tenis de Mesa, Voleibol.  </t>
    </r>
    <r>
      <rPr>
        <b/>
        <u/>
        <sz val="11"/>
        <color theme="1"/>
        <rFont val="Arial"/>
        <family val="2"/>
      </rPr>
      <t>A corte de 31 de agosto se reporta:</t>
    </r>
    <r>
      <rPr>
        <sz val="11"/>
        <color theme="1"/>
        <rFont val="Arial"/>
        <family val="2"/>
      </rPr>
      <t xml:space="preserve">
•	Para este periodo no se reporta variación, ya que se culminaron las competencias correspondientes a cada uno de los deportes y modalidades deportivas convocadas por el Ministerio del Deporte y que cumplieron con la normatividad correspondiente al número mínimo de Instituciones Educativas o Atletas inscritos.
</t>
    </r>
    <r>
      <rPr>
        <b/>
        <u/>
        <sz val="11"/>
        <color theme="1"/>
        <rFont val="Arial"/>
        <family val="2"/>
      </rPr>
      <t xml:space="preserve">  A corte de 31 de julio se reporta: 
</t>
    </r>
    <r>
      <rPr>
        <sz val="11"/>
        <color theme="1"/>
        <rFont val="Arial"/>
        <family val="2"/>
      </rPr>
      <t>•	Se está a la espera del inicio de las competencias en cada uno de los deportes y modalidades convocadas, una vez se surta el proceso de contratación del operador para los Juegos Intercolegiados</t>
    </r>
    <r>
      <rPr>
        <b/>
        <u/>
        <sz val="11"/>
        <color theme="1"/>
        <rFont val="Arial"/>
        <family val="2"/>
      </rPr>
      <t xml:space="preserve">. A corte de 30 de junio se reporta: 
</t>
    </r>
    <r>
      <rPr>
        <b/>
        <sz val="11"/>
        <color theme="1"/>
        <rFont val="Arial"/>
        <family val="2"/>
      </rPr>
      <t xml:space="preserve">•	</t>
    </r>
    <r>
      <rPr>
        <sz val="11"/>
        <color theme="1"/>
        <rFont val="Arial"/>
        <family val="2"/>
      </rPr>
      <t>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t>
    </r>
    <r>
      <rPr>
        <b/>
        <u/>
        <sz val="11"/>
        <color theme="1"/>
        <rFont val="Arial"/>
        <family val="2"/>
      </rPr>
      <t>A corte 10 de junio de 2025:</t>
    </r>
    <r>
      <rPr>
        <sz val="11"/>
        <color theme="1"/>
        <rFont val="Arial"/>
        <family val="2"/>
      </rPr>
      <t xml:space="preserve">  Se establecio el cronograma de reuniones informativas correspondiente a los deportes individuales dentro de la Fase Distirtal de los juegos entre los días 9 de junio    a 13 de junio de 2025.</t>
    </r>
    <r>
      <rPr>
        <b/>
        <u/>
        <sz val="11"/>
        <color theme="1"/>
        <rFont val="Arial"/>
        <family val="2"/>
      </rPr>
      <t>A corte de 30 de junio se reporta:</t>
    </r>
    <r>
      <rPr>
        <sz val="11"/>
        <color theme="1"/>
        <rFont val="Arial"/>
        <family val="2"/>
      </rPr>
      <t xml:space="preserve"> 
•	Se está a la espera que se surta la convocatoria pública para la escogencia del operador logístico de los Juegos Intercolegiados.
                                                                                                                                                                                                                           </t>
    </r>
    <r>
      <rPr>
        <b/>
        <u/>
        <sz val="11"/>
        <color theme="1"/>
        <rFont val="Arial"/>
        <family val="2"/>
      </rPr>
      <t xml:space="preserve"> 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</si>
  <si>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 xml:space="preserve">A corte de 15 de septiembre se reporta:
</t>
    </r>
    <r>
      <rPr>
        <sz val="11"/>
        <color theme="1"/>
        <rFont val="Arial"/>
        <family val="2"/>
      </rPr>
      <t xml:space="preserve">•	Para este periodo no se reporta variación, ya que se culminaron las competencias correspondientes a cada uno de los deportes y modalidades deportivas convocadas por el Ministerio del Deporte y que cumplieron con la normatividad correspondiente al número mínimo de Instituciones Educativas o Atletas inscritos. </t>
    </r>
    <r>
      <rPr>
        <b/>
        <u/>
        <sz val="11"/>
        <color theme="1"/>
        <rFont val="Arial"/>
        <family val="2"/>
      </rPr>
      <t xml:space="preserve">A corte 15 de septiembre se reporta: </t>
    </r>
    <r>
      <rPr>
        <sz val="11"/>
        <color theme="1"/>
        <rFont val="Arial"/>
        <family val="2"/>
      </rPr>
      <t xml:space="preserve">•	El 15 de septiembre se llevó a cabo la ceremonia de premiación de los Juegos Intercolegiados Distritales, donde se reconoció y exaltó el esfuerzo, la disciplina y los logros alcanzados por las Instituciones Educativas y atletas participantes quienes obtuvieron los primero lugares en las justas deportivas, reafirmando el compromiso del IDER con el fomento del deporte escolar y la formación integral de los jóvenes cartageneros. </t>
    </r>
    <r>
      <rPr>
        <b/>
        <u/>
        <sz val="11"/>
        <color theme="1"/>
        <rFont val="Arial"/>
        <family val="2"/>
      </rPr>
      <t xml:space="preserve"> A corte de 30 de junio se reporta: </t>
    </r>
    <r>
      <rPr>
        <sz val="11"/>
        <color theme="1"/>
        <rFont val="Arial"/>
        <family val="2"/>
      </rPr>
      <t xml:space="preserve">
•	Se encuentran vinculadas 171 Instituciones Educativas, de las cuales se encuentran 86 oficiales y 85 no oficiales en la plataforma de los Juegos Intercolegiados Nacionales 2025.</t>
    </r>
  </si>
  <si>
    <r>
      <rPr>
        <b/>
        <u/>
        <sz val="11"/>
        <color theme="1"/>
        <rFont val="Arial"/>
        <family val="2"/>
      </rPr>
      <t>A corte de 15 de septiembre se reporta
ATENCIONES PERIÓDICAS 
•</t>
    </r>
    <r>
      <rPr>
        <sz val="11"/>
        <color theme="1"/>
        <rFont val="Arial"/>
        <family val="2"/>
      </rPr>
      <t xml:space="preserve">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t>
    </r>
    <r>
      <rPr>
        <u/>
        <sz val="11"/>
        <color theme="1"/>
        <rFont val="Arial"/>
        <family val="2"/>
      </rPr>
      <t xml:space="preserve">
</t>
    </r>
    <r>
      <rPr>
        <b/>
        <u/>
        <sz val="11"/>
        <color theme="1"/>
        <rFont val="Arial"/>
        <family val="2"/>
      </rPr>
      <t xml:space="preserve">
REUNIONES Y SOCIALIZACIONES
</t>
    </r>
    <r>
      <rPr>
        <b/>
        <sz val="11"/>
        <color theme="1"/>
        <rFont val="Arial"/>
        <family val="2"/>
      </rPr>
      <t xml:space="preserve">•	</t>
    </r>
    <r>
      <rPr>
        <sz val="11"/>
        <color theme="1"/>
        <rFont val="Arial"/>
        <family val="2"/>
      </rPr>
      <t>8 de septiembre, Mesa de trabajo con el equipo de la estrategia Juegos Comunales, planificación, socialización y retroalimentación de actividades desarrolladas en las comunidades de las diferentes localidades 1,2 y 3. Coliseo Chico de Hierro-IDER.
•	2,3 ,4 y 5 de septiembre, asistencia a Café dialogo constructivo con las comunidades de la localidad 2 junto a la Alcaldía de la localidad de la virgen y turística.
•	4 de septiembre, se asistió</t>
    </r>
    <r>
      <rPr>
        <b/>
        <u/>
        <sz val="11"/>
        <color theme="1"/>
        <rFont val="Arial"/>
        <family val="2"/>
      </rPr>
      <t xml:space="preserve"> a</t>
    </r>
    <r>
      <rPr>
        <sz val="11"/>
        <color theme="1"/>
        <rFont val="Arial"/>
        <family val="2"/>
      </rPr>
      <t xml:space="preserve"> Mesa Técnica con la comunidad y los jóvenes en riesgo Barrio El Líbano.</t>
    </r>
    <r>
      <rPr>
        <b/>
        <u/>
        <sz val="11"/>
        <color theme="1"/>
        <rFont val="Arial"/>
        <family val="2"/>
      </rPr>
      <t xml:space="preserve">A corte de 15 de septiembre se reporta: </t>
    </r>
    <r>
      <rPr>
        <sz val="11"/>
        <color theme="1"/>
        <rFont val="Arial"/>
        <family val="2"/>
      </rPr>
      <t xml:space="preserve">•	Entrenamientos de natación de forma regular para personas con discapacidad Complejo Acuático durante todo el mes atención 70 personas en promedio. •	Se realizaron atenciones en las fundaciones desarrollándose actividades deportivas con las personas con discapacidad. </t>
    </r>
    <r>
      <rPr>
        <b/>
        <u/>
        <sz val="11"/>
        <color theme="1"/>
        <rFont val="Arial"/>
        <family val="2"/>
      </rPr>
      <t xml:space="preserve">A corte 15 de septiembre se reporta: </t>
    </r>
    <r>
      <rPr>
        <sz val="11"/>
        <color theme="1"/>
        <rFont val="Arial"/>
        <family val="2"/>
      </rPr>
      <t xml:space="preserve">REUNIONES
•	8 de septiembre, Mesa de trabajo con el equipo de la estrategia Juegos Comunales, planificación, socialización y retroalimentación de actividades desarrolladas en las comunidades de las diferentes localidades 1,2 y 3. Coliseo Chico de Hierro-IDER. </t>
    </r>
    <r>
      <rPr>
        <b/>
        <u/>
        <sz val="11"/>
        <color theme="1"/>
        <rFont val="Arial"/>
        <family val="2"/>
      </rPr>
      <t xml:space="preserve"> </t>
    </r>
    <r>
      <rPr>
        <sz val="11"/>
        <color theme="1"/>
        <rFont val="Arial"/>
        <family val="2"/>
      </rPr>
      <t xml:space="preserve">•	2,3 ,4 y 5 de septiembre, asistencia a Café dialogo constructivo con las comunidades de la localidad 2 junto a la Alcaldía de la localidad de la virgen y turística., •	4 de septiembre, se asistió a Mesa Técnica con la comunidad y los jóvenes en riesgo Barrio El Líbano.
•	Se desarrollaron las actividades periódicas programadas en los centros penitenciarios y fundaciones, </t>
    </r>
    <r>
      <rPr>
        <b/>
        <u/>
        <sz val="11"/>
        <color theme="1"/>
        <rFont val="Arial"/>
        <family val="2"/>
      </rPr>
      <t xml:space="preserve">A corte de 31 de agosto se reporta:: </t>
    </r>
    <r>
      <rPr>
        <sz val="11"/>
        <color theme="1"/>
        <rFont val="Arial"/>
        <family val="2"/>
      </rPr>
      <t>•	Se realizó la planificación de los Juegos Comunales 2025 a desarrollarse en el mes de septiembre del presente año.•	Mesa de trabajo con el coordinador de Deporte Social Comunitario, equipo DSC y jefe de Deporte para la presentación de lo que se tiene planificado desarrollar en los Juegos Comunales 2025. •	Mesa de trabajo para la programación de actividades a desarrollar en el mes de septiembre solicitadas por las comunidades, para el mes de septiembre se programa la comunidad del barrio Nuevo Oriente y Ceballos</t>
    </r>
    <r>
      <rPr>
        <b/>
        <sz val="11"/>
        <color theme="1"/>
        <rFont val="Arial"/>
        <family val="2"/>
      </rPr>
      <t>.</t>
    </r>
    <r>
      <rPr>
        <b/>
        <u/>
        <sz val="11"/>
        <color theme="1"/>
        <rFont val="Arial"/>
        <family val="2"/>
      </rPr>
      <t xml:space="preserve"> A corte de 15 de septiembre se reporta:</t>
    </r>
    <r>
      <rPr>
        <b/>
        <sz val="11"/>
        <color theme="1"/>
        <rFont val="Arial"/>
        <family val="2"/>
      </rPr>
      <t xml:space="preserve">
•</t>
    </r>
    <r>
      <rPr>
        <sz val="11"/>
        <color theme="1"/>
        <rFont val="Arial"/>
        <family val="2"/>
      </rPr>
      <t xml:space="preserve">	Entrenamientos de natación de forma regular para personas con discapacidad Complejo Acuático durante todo el mes atención 70 personas en promedio, •	Se realizaron atenciones en las fundaciones desarrollándose actividades deportivas con las personas con discapacidad</t>
    </r>
    <r>
      <rPr>
        <b/>
        <sz val="11"/>
        <color theme="1"/>
        <rFont val="Arial"/>
        <family val="2"/>
      </rPr>
      <t xml:space="preserve">. </t>
    </r>
    <r>
      <rPr>
        <b/>
        <u/>
        <sz val="11"/>
        <color theme="1"/>
        <rFont val="Arial"/>
        <family val="2"/>
      </rPr>
      <t>A corte de 15 de</t>
    </r>
    <r>
      <rPr>
        <b/>
        <sz val="11"/>
        <color theme="1"/>
        <rFont val="Arial"/>
        <family val="2"/>
      </rPr>
      <t xml:space="preserve"> </t>
    </r>
    <r>
      <rPr>
        <b/>
        <u/>
        <sz val="11"/>
        <color theme="1"/>
        <rFont val="Arial"/>
        <family val="2"/>
      </rPr>
      <t xml:space="preserve">septiembre se reporta: </t>
    </r>
    <r>
      <rPr>
        <b/>
        <sz val="11"/>
        <color theme="1"/>
        <rFont val="Arial"/>
        <family val="2"/>
      </rPr>
      <t>•</t>
    </r>
    <r>
      <rPr>
        <sz val="11"/>
        <color theme="1"/>
        <rFont val="Arial"/>
        <family val="2"/>
      </rPr>
      <t xml:space="preserve">	Para este periodo se socializo con el equipo la planificación de cómo serán las inscripciones a los Juegos Comunales del presente año. </t>
    </r>
    <r>
      <rPr>
        <b/>
        <sz val="11"/>
        <color theme="1"/>
        <rFont val="Arial"/>
        <family val="2"/>
      </rPr>
      <t xml:space="preserve"> </t>
    </r>
    <r>
      <rPr>
        <b/>
        <u/>
        <sz val="11"/>
        <color theme="1"/>
        <rFont val="Arial"/>
        <family val="2"/>
      </rPr>
      <t>A corte de 31 de Agosto se reporta</t>
    </r>
    <r>
      <rPr>
        <sz val="11"/>
        <color theme="1"/>
        <rFont val="Arial"/>
        <family val="2"/>
      </rPr>
      <t xml:space="preserve">: </t>
    </r>
    <r>
      <rPr>
        <b/>
        <u/>
        <sz val="11"/>
        <color theme="1"/>
        <rFont val="Arial"/>
        <family val="2"/>
      </rPr>
      <t>ATENCIONES PERIÓDICAS •</t>
    </r>
    <r>
      <rPr>
        <sz val="11"/>
        <color theme="1"/>
        <rFont val="Arial"/>
        <family val="2"/>
      </rPr>
      <t xml:space="preserve">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t>
    </r>
    <r>
      <rPr>
        <b/>
        <u/>
        <sz val="11"/>
        <color theme="1"/>
        <rFont val="Arial"/>
        <family val="2"/>
      </rPr>
      <t xml:space="preserve"> A corte de 31 de Agosto se reporta:, ATENCIONES PERIÓDICAS •</t>
    </r>
    <r>
      <rPr>
        <sz val="11"/>
        <color theme="1"/>
        <rFont val="Arial"/>
        <family val="2"/>
      </rPr>
      <t xml:space="preserve">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t>
    </r>
    <r>
      <rPr>
        <b/>
        <sz val="11"/>
        <color theme="1"/>
        <rFont val="Arial"/>
        <family val="2"/>
      </rPr>
      <t xml:space="preserve">REUNIONES Y SOCIALIZACIONES: </t>
    </r>
    <r>
      <rPr>
        <sz val="11"/>
        <color theme="1"/>
        <rFont val="Arial"/>
        <family val="2"/>
      </rPr>
      <t>•	Se realizó la planificación de los Juegos Comunales 2025 a desarrollarse en el mes de septiembre del presente año.•	Mesa de trabajo con el coordinador de Deporte Social Comunitario, equipo DSC y jefe de Deporte para la presentación de lo que se tiene planificado desarrollar en los Juegos Comunales 2025.•	Mesa de trabajo para la programación de actividades a desarrollar en el mes de septiembre solicitadas por las comunidades, para el mes de septiembre se programa la comunidad del barrio Nuevo Oriente y Ceballos.</t>
    </r>
    <r>
      <rPr>
        <b/>
        <u/>
        <sz val="11"/>
        <color theme="1"/>
        <rFont val="Arial"/>
        <family val="2"/>
      </rPr>
      <t xml:space="preserve"> </t>
    </r>
    <r>
      <rPr>
        <sz val="11"/>
        <color theme="1"/>
        <rFont val="Arial"/>
        <family val="2"/>
      </rPr>
      <t xml:space="preserve">
.</t>
    </r>
    <r>
      <rPr>
        <b/>
        <u/>
        <sz val="11"/>
        <color theme="1"/>
        <rFont val="Arial"/>
        <family val="2"/>
      </rPr>
      <t xml:space="preserve">  A corte de 31 de julio se reporta
: TENCIONES PERIÓDICAS •</t>
    </r>
    <r>
      <rPr>
        <sz val="11"/>
        <color theme="1"/>
        <rFont val="Arial"/>
        <family val="2"/>
      </rPr>
      <t xml:space="preserve">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t>
    </r>
    <r>
      <rPr>
        <b/>
        <u/>
        <sz val="11"/>
        <color theme="1"/>
        <rFont val="Arial"/>
        <family val="2"/>
      </rPr>
      <t xml:space="preserve">REUNIONES Y SOCIALIZACIONES : •	</t>
    </r>
    <r>
      <rPr>
        <sz val="11"/>
        <color theme="1"/>
        <rFont val="Arial"/>
        <family val="2"/>
      </rPr>
      <t xml:space="preserve">23 julio, visita técnica a Isla Orika. , •	22 julio, se llevó a cabo reunión en coliseo chico de hierro, para planeación y organización para el Festival de la Inclusión. , •	17 Julio, socialización sobre planeación semanal Juegos De La Inclusión. 
•	16 julio, mesa de trabajo con el equipo de la estrategia juegos comunales, planificación, socialización y retroalimentación de actividades desarrolladas en las comunidades de las diferentes localidades 1,2 y 3, Coliseo Chico de Hierro-IDER., •	8 Julio, Submesa Técnica Deportes SRPA. Virtual 9.00 Am, •	8 Julio, III Comité Departamental SRPA-Gobernación De Bolívar.              </t>
    </r>
    <r>
      <rPr>
        <b/>
        <u/>
        <sz val="11"/>
        <color theme="1"/>
        <rFont val="Arial"/>
        <family val="2"/>
      </rPr>
      <t>A corte de 30 de junio se reporta: A</t>
    </r>
    <r>
      <rPr>
        <sz val="11"/>
        <color theme="1"/>
        <rFont val="Arial"/>
        <family val="2"/>
      </rPr>
      <t xml:space="preserve">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11 junio se realizó mesa de trabajo Deporte Social Comunitario para seguimiento de los juegos de la inclusión  •	Se realizó reunión con equipo de trabajo para programar actividades en las comunidades los días 11, 12 y 13 de junio •	En este periodo se desarrollaron los Juegos De La Discapacidad 
•	Desarrollo de los Juegos Carcelarios que se llevaron a cabo en los Centros Penitenciarios: Cárcel de Mujeres: Kickball en reemplazo de Golito, Cárcel san Sebastián de Ternera- Hombres: Futbol, Softbol, Futbol de Salón, Baloncesto y Juegos de Mesa.
•	21 de junio, Mesa de trabajo con el equipo de discapacidad para evaluar desarrollo de los Juegos de la Inclusión 2025 – Discapacidad fortalezas y debilidades para mejorar en cada una de las actividades, además realizar ajustes en las programaciones que están para ejecutar finalizando mes de junio y julio 2025. Oficina de las Escuelas de Formación- IDER Complejo Acuático., •	24 junio, reunión equipo de trabajo Comunales para planificación de actividades., </t>
    </r>
    <r>
      <rPr>
        <b/>
        <u/>
        <sz val="11"/>
        <color theme="1"/>
        <rFont val="Arial"/>
        <family val="2"/>
      </rPr>
      <t>A corte de 10 de junio de 2025, se reporta</t>
    </r>
    <r>
      <rPr>
        <sz val="11"/>
        <color theme="1"/>
        <rFont val="Arial"/>
        <family val="2"/>
      </rPr>
      <t xml:space="preserve">
•	Se realizó mesa de trabajo Deporte Social Comunitario para seguimiento de los juegos de la inclusión 
•	Se realizó reunión con equipo de trabajo para programar actividades en las comunidades los dias 11, 12 y 13 de junio
•	En este periodo se desarrollaron los juegos de la discapacidad en las disciplinas de Golito y Futsala
•	Desarrollo de los Juegos Carcelarios que se llevaron a cabo en los Centros Penitenciarios: 
Cárcel de Mujeres: Kickball en reemplazo de Golito
Cárcel san Sebastián de Ternera- Hombres: Futbol, Softbol, Futbol de Salón, Baloncesto. </t>
    </r>
    <r>
      <rPr>
        <b/>
        <u/>
        <sz val="11"/>
        <color theme="1"/>
        <rFont val="Arial"/>
        <family val="2"/>
      </rPr>
      <t>A corte de mayo de 2025:</t>
    </r>
    <r>
      <rPr>
        <sz val="11"/>
        <color theme="1"/>
        <rFont val="Arial"/>
        <family val="2"/>
      </rPr>
      <t xml:space="preserve"> Las acciones realizadas fueron las  siguientes :Actividades Predeportivas regulares,  Actividades predeportivas conmemoración al día del niño en la IE Pedro Romero, Actividad predeportiva adaptada de futbol Sala Personas con discapacidad desarrollaron actividades de coordinación y técnicas con el balón, Entrenamientos de natación de forma regular para personas con discapacidad, Actividad predeportiva adaptada de futbol sala Personas con discapacidad, Socialización de los Juegos Distritales de la Discapacidad 2025 para los deportistas, presidentes de clubes deportivos, Comité Distrital y Local de Discapacidad, Líderes comunitarios, Alcaldías locales, actividad predeportiva de atletismo se realizaron circuitos, pruebas de velocidad y coordinación. Discapacidad, Actividad predeportiva con personas con discapacidad de la Fundación REI, Actividad predeportiva con personas con discapacidad de Inclusivo Fundación  Iniciar procesos deportivos y motivarlos a participar en los próximos Juegos Distritales de la Discapacidad 2025, Actividad de natación con personas con discapacidad de la Fundación El Rosario, Actividad predeportiva de atletismo Personas con discapacidad de la Corporación Mente Activa..</t>
    </r>
  </si>
  <si>
    <r>
      <rPr>
        <b/>
        <sz val="11"/>
        <color theme="1"/>
        <rFont val="Arial"/>
        <family val="2"/>
      </rPr>
      <t>De enero a septiembre  de 2025 :</t>
    </r>
    <r>
      <rPr>
        <sz val="11"/>
        <color theme="1"/>
        <rFont val="Arial"/>
        <family val="2"/>
      </rPr>
      <t xml:space="preserve"> Se entregaron estímulos e incentivos a cincuenta y dos (52) organismos deportivos a través de las Resoluciones No. 045, 046,047,048, 050, 051, 052, 079,080,081,082, 083,084, 085, 103 , 104, 108, 109,110, 117,119,120,121, 122 , 138, 139, 150, 156 ,172, 173,174,175,177, 190, 218, 234, 235, 236, 241, 248,250,251,256,257, 258, 262,263, 267, 295, 302 , 312, 314 del 2025 y Convenio de Asociación 574 del 2025,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46 actos administrativos de procesos de reconocimiento deportivos de diferentes clubes deportivos.</t>
    </r>
    <r>
      <rPr>
        <b/>
        <u/>
        <sz val="11"/>
        <color theme="1"/>
        <rFont val="Arial"/>
        <family val="2"/>
      </rPr>
      <t xml:space="preserve">De enero a mayo de 2025: </t>
    </r>
    <r>
      <rPr>
        <sz val="11"/>
        <color theme="1"/>
        <rFont val="Arial"/>
        <family val="2"/>
      </rPr>
      <t xml:space="preserve">•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33 actos administrativos de procesos de reconocimiento deportivos de diferentes clubes deportivos.
</t>
    </r>
  </si>
  <si>
    <r>
      <rPr>
        <b/>
        <u/>
        <sz val="11"/>
        <color theme="1"/>
        <rFont val="Arial"/>
        <family val="2"/>
      </rPr>
      <t xml:space="preserve">A CORTE DE SEPTIEMBRE DE 2025: </t>
    </r>
    <r>
      <rPr>
        <sz val="11"/>
        <color theme="1"/>
        <rFont val="Arial"/>
        <family val="2"/>
      </rPr>
      <t xml:space="preserve">     Se entregaron dos (2) estímulos a deportistas de alto rendimiento a través de las resoluciones No. 361 y 367 . Para  un total de 236 deportitas beneficiados.de enero a septiembre de 2025. </t>
    </r>
    <r>
      <rPr>
        <b/>
        <u/>
        <sz val="11"/>
        <color theme="1"/>
        <rFont val="Arial"/>
        <family val="2"/>
      </rPr>
      <t xml:space="preserve">  A CORTE DE AGOSTO DE 2025:</t>
    </r>
    <r>
      <rPr>
        <sz val="11"/>
        <color theme="1"/>
        <rFont val="Arial"/>
        <family val="2"/>
      </rPr>
      <t xml:space="preserve">
•	Se otorgaron 14 becas a deportistas gestionadas por IDER en convenio institucionales con las universidades del distrito a continuación se relacionan los deportistas beneficiado por las becas Fondo Inclusivo. 
•	Se relacionan estímulos otorgaron a los siguientes deportistas con el propósito de reconocer y apoyar su dedicación, esfuerzo y logros en el ámbito deportivo. Estos estímulos están diseñados para fortalecer su proceso de formación, preparación y participación en competencias, ayudándolos a alcanzar un desempeño óptimo en sus respectivas disciplinas asi como también se entregaron otros estímulos a deportistas a través de resoluciones No. 295, 305,308 y 315.del 2025  Para un total de 234 deportistas beneficiados.  </t>
    </r>
    <r>
      <rPr>
        <b/>
        <u/>
        <sz val="11"/>
        <color theme="1"/>
        <rFont val="Arial"/>
        <family val="2"/>
      </rPr>
      <t xml:space="preserve">A corte de julio de 2025:  </t>
    </r>
    <r>
      <rPr>
        <sz val="11"/>
        <color theme="1"/>
        <rFont val="Arial"/>
        <family val="2"/>
      </rPr>
      <t xml:space="preserve">Se entregaron estímulos e incentivos a  doscientos catorce (214) deportitas a través de la Resoluciones No. 005. 007, 017, 086, 095, 123, 204 ,213 y 243 del 2025, además de convenios de asociación. </t>
    </r>
  </si>
  <si>
    <r>
      <rPr>
        <b/>
        <u/>
        <sz val="11"/>
        <color theme="1"/>
        <rFont val="Arial"/>
        <family val="2"/>
      </rPr>
      <t xml:space="preserve"> A corte de 15 de septiembre se reporta:
</t>
    </r>
    <r>
      <rPr>
        <sz val="11"/>
        <color theme="1"/>
        <rFont val="Arial"/>
        <family val="2"/>
      </rPr>
      <t xml:space="preserve">•	5 septiembre, se asistió a la mesa de trabajo en la casa AIKU en la temática correspondiente al archipiélago de San Bernardo.
•	Se realizó mesa de trabajo en donde se llevó a cabo la planeación de Juegos Afro Mar y Playa los cuales se tiene proyectados el desarrollo de los mismos en el mes de octubre 2025. </t>
    </r>
    <r>
      <rPr>
        <b/>
        <u/>
        <sz val="11"/>
        <color theme="1"/>
        <rFont val="Arial"/>
        <family val="2"/>
      </rPr>
      <t xml:space="preserve">    A corte de 31 de agosto se reporta:
</t>
    </r>
    <r>
      <rPr>
        <sz val="11"/>
        <color theme="1"/>
        <rFont val="Arial"/>
        <family val="2"/>
      </rPr>
      <t xml:space="preserve">•	20 agosto, se realizó reunión de planeación y organización de Juegos del Mar 2025.
•	Se le realiza seguimiento al proceso en el que se iniciará el convenio, el cual se encuentra en el área de jurídica para su respectiva elaboración, por medio del cual se dará inicio y ejecución de los Juegos del Mar y Playa proyectados para el mes de septiembre 2025, en la que dentro de sus disciplinas se encuentran:
	Canotaje
	Futbol Playa
	Voley playa
	Vara de premio
	Tennis Playa.  </t>
    </r>
    <r>
      <rPr>
        <b/>
        <u/>
        <sz val="11"/>
        <color theme="1"/>
        <rFont val="Arial"/>
        <family val="2"/>
      </rPr>
      <t xml:space="preserve">   A corte julio de 2025: </t>
    </r>
    <r>
      <rPr>
        <sz val="11"/>
        <color theme="1"/>
        <rFont val="Arial"/>
        <family val="2"/>
      </rPr>
      <t xml:space="preserve">Se realizarán en el segundo trimestre de 2025 y de acuerdo a lo estipulado en la adicional del contrato de los Juegos de Inclusión </t>
    </r>
  </si>
  <si>
    <r>
      <rPr>
        <b/>
        <u/>
        <sz val="11"/>
        <color theme="1"/>
        <rFont val="Arial"/>
        <family val="2"/>
      </rPr>
      <t xml:space="preserve">A corte de 15 de septiembre se reporta:
</t>
    </r>
    <r>
      <rPr>
        <sz val="11"/>
        <color theme="1"/>
        <rFont val="Arial"/>
        <family val="2"/>
      </rPr>
      <t>•	2 septiembre, en barrio Pozón cabildo Inga Y Kankuamos se llevó realizo actividad predeportiva y acompañamiento en conmemoración del Día Internacional de la Mujer Indígena,  “Mujer Ancestral: Salud, Alegría y Poder 
•	4 septiembre, en Membrillal Cabildo Caizem se llevó realizo actividad predeportiva y acompañamiento en conmemoración del Día Internacional de la Mujer Indígena,  “Mujer Ancestral: Salud, Alegría y Poder 
•	5 septiembre, en Cabildo Caizeba se llevó realizo actividad predeportiva y acompañamiento en conmemoración del Día Internacional de la Mujer Indígena,  “Mujer Ancestral: Salud, Alegría y Poder 
•	9 septiembre, en Cabildo Kaizerubab se llevó realizo actividad predeportiva y acompañamiento en conmemoración del Día Internacional de la Mujer Indígena,  “Mujer Ancestral: Salud, Alegría y Poder 
•	11 septiembre, en Bayunca Cabildo Kainhazb se llevó realizo actividad predeportiva y acompañamiento en conmemoración del Día Internacional de la Mujer Indígena,  “Mujer Ancestral: Salud, Alegría y Poder..</t>
    </r>
    <r>
      <rPr>
        <b/>
        <u/>
        <sz val="11"/>
        <color theme="1"/>
        <rFont val="Arial"/>
        <family val="2"/>
      </rPr>
      <t xml:space="preserve">A corte de 31 de agosto se reporta:
</t>
    </r>
    <r>
      <rPr>
        <sz val="11"/>
        <color theme="1"/>
        <rFont val="Arial"/>
        <family val="2"/>
      </rPr>
      <t>•	Para este periodo se realizó reunión con los líderes en pro de conocer un análisis DOFA de los Juegos Indígenas 2025 en donde se miran mejoras para los juegos 2026 y los compromisos semanales de actividades pre deportivos  en las comunidades indígenas a partir del mes de septiembre.
•	Se realizó reunión con coordinador de área y jefe de deportes en donde se socializo la planificación de las actividades programadas conmemoración del Día Internacional de la Mujer Indígena,  “Mujer Ancestral: Salud, Alegría y Poder” que se realizara en la primera semana de septiembre</t>
    </r>
    <r>
      <rPr>
        <b/>
        <u/>
        <sz val="11"/>
        <color theme="1"/>
        <rFont val="Arial"/>
        <family val="2"/>
      </rPr>
      <t xml:space="preserve">
•	A corte de 31 de julio se reporta:
</t>
    </r>
    <r>
      <rPr>
        <b/>
        <sz val="11"/>
        <color theme="1"/>
        <rFont val="Arial"/>
        <family val="2"/>
      </rPr>
      <t xml:space="preserve">•	</t>
    </r>
    <r>
      <rPr>
        <sz val="11"/>
        <color theme="1"/>
        <rFont val="Arial"/>
        <family val="2"/>
      </rPr>
      <t>Para este periodo se continuó con el desarrollo  de los Juegos de la inclusión en donde hace parte como estrategia fundamental los Juegos Indígenas con la participación de los 6 cabildos del</t>
    </r>
    <r>
      <rPr>
        <b/>
        <sz val="11"/>
        <color theme="1"/>
        <rFont val="Arial"/>
        <family val="2"/>
      </rPr>
      <t xml:space="preserve"> </t>
    </r>
    <r>
      <rPr>
        <sz val="11"/>
        <color theme="1"/>
        <rFont val="Arial"/>
        <family val="2"/>
      </rPr>
      <t>distrito, los Cabildos Kainzhabz, Kaiceba, Kaizem, Kankuamo, Inga y Kaizerupab en los cuales se reportan 470 inscritos.</t>
    </r>
    <r>
      <rPr>
        <b/>
        <u/>
        <sz val="11"/>
        <color theme="1"/>
        <rFont val="Arial"/>
        <family val="2"/>
      </rPr>
      <t xml:space="preserve"> A corte de 30 de junio se reporta:
•</t>
    </r>
    <r>
      <rPr>
        <sz val="11"/>
        <color theme="1"/>
        <rFont val="Arial"/>
        <family val="2"/>
      </rPr>
      <t xml:space="preserve">	Para este periodo se desarrollan Juegos de la inclusión en donde hace parte como estrategia fundamental los Juegos Indígenas con la participación de los 6 cabildos del distrito, los Cabildos Kainzhabz, Kaiceba, Kaizem, Kankuamo, Inga y Kaizerupab en los cuales se reportan 470 inscritosA corte de 10 de junio se reporta: Se desarrollan Juegos de la inclusión en donde hace parte como estrategia fundamental los Juegos Indígenas con la participación de los 6 cabildos del distrito, en los cuales se reportan 467 inscritos.</t>
    </r>
    <r>
      <rPr>
        <b/>
        <u/>
        <sz val="11"/>
        <color theme="1"/>
        <rFont val="Arial"/>
        <family val="2"/>
      </rPr>
      <t>A corte de 30 de Mayo se reporta:</t>
    </r>
    <r>
      <rPr>
        <sz val="11"/>
        <color theme="1"/>
        <rFont val="Arial"/>
        <family val="2"/>
      </rPr>
      <t xml:space="preserve">
•	Se realizó la entrega de uniformes a las Autoridades de los Cabildos Kainzhabz, Kaiceba, Kaizem, Kankuamo, Inga y Kaizerupab en las instalaciones del Instituto IDER.
•	Se realizó la inauguración de los Juegos de la inclusión en donde hace parte como estrategia fundamental los Juegos Indígenas que en el Coliseo De Combate y Gimnasia Ignacio Amador de la Peña, con la participación de los 6 cabildos del distrito, donde se dieron cita 70 participantes de los Juegos Indígenas.
•	Se dio inicio de los Juegos indígenas en los cabildos Kaizem de Membrillal y Kaiceba de Bayunca, donde participaron alrededor de 98 jugadores de las poblaciones indígenas en disciplinas como: Futbol de salón, Pilón, Corte de leña, Vara de premio, Molino, tiro al blanco y Trenzado, se está trabajando para dar el inicio de las justas en los 4 cabildos faltantes en la que se impactaran a 490 personas, previamente identificados como población de los cabildos indígenas.</t>
    </r>
    <r>
      <rPr>
        <b/>
        <sz val="11"/>
        <color theme="1"/>
        <rFont val="Arial"/>
        <family val="2"/>
      </rPr>
      <t xml:space="preserve">
</t>
    </r>
  </si>
  <si>
    <r>
      <rPr>
        <b/>
        <u/>
        <sz val="11"/>
        <color theme="1"/>
        <rFont val="Arial"/>
        <family val="2"/>
      </rPr>
      <t xml:space="preserve">A CORTE A SEPTIEMBRE DE 2025 </t>
    </r>
    <r>
      <rPr>
        <sz val="11"/>
        <color theme="1"/>
        <rFont val="Arial"/>
        <family val="2"/>
      </rPr>
      <t>:Se cumple con la revisión final de la crónica GETSEMANÍ UNA DE LAS CUNAS DEL DEPORTE Y JUEGOS TRADICIONALES EN CARTAGENA, Se envía crónica a prensa para la diagramación y posterior publicación..A través del sistema de información distrital de deporte y recreación se han venido continuando con la caracterización de los asistentes a los distintos eventos deportivos, recreativos y académicos durante el mes de septiembre de 2025.</t>
    </r>
    <r>
      <rPr>
        <b/>
        <u/>
        <sz val="11"/>
        <color theme="1"/>
        <rFont val="Arial"/>
        <family val="2"/>
      </rPr>
      <t>A CORTE DE AGOSTO DE 2025:</t>
    </r>
    <r>
      <rPr>
        <sz val="11"/>
        <color theme="1"/>
        <rFont val="Arial"/>
        <family val="2"/>
      </rPr>
      <t xml:space="preserve"> Se concluye crónica sobre la historia del deporte y los juegos tradicionales en el barrio Getsemaní, Una vez concluida y revisada la crónica, se remite a la oficina de prensa para su diagramación y publicación.A través del sistema de información distrital de deporte y recreación se han venido continuando con la caracterización de los asistentes a los distintos eventos deportivos, recreativos y académicos durante el mes de agosto de 2025.  </t>
    </r>
    <r>
      <rPr>
        <b/>
        <u/>
        <sz val="11"/>
        <color theme="1"/>
        <rFont val="Arial"/>
        <family val="2"/>
      </rPr>
      <t xml:space="preserve">A CORTE 31 DE JULIO DE 2025: </t>
    </r>
    <r>
      <rPr>
        <sz val="11"/>
        <color theme="1"/>
        <rFont val="Arial"/>
        <family val="2"/>
      </rPr>
      <t>Se continua en los diálogos con la Universidad Rafael Núñez y con el estímulo a los estudiantes de la Fundación Internacional de Educación Elyon Yireh para la conformación del semillero de investigación previa formación de los semilleristas. Con base en la experiencia que dejó la realización del evento encuentro deportivo con la comunidad Getsemani, en donde se realizó un conversatorio sobre el Beisbol, bola de trapo, baloncesto y juegos tradicionales en la plaza de la trinidad el barrio Getsemaní el día 25 de julio. Se recogieron insumos para la elaboración de una crónica histórico-Deportiva relacionada con le acervo documental de dicha historia y el aporte de los ponentes asistentes a dicho conversatorio.  Se trabaja en la construcción de una crónica relacionada con el inicio y desarrollo del deporte y los juegos tradicionales en el barrio Getsemaní para su posterior publicación. Se continúa trabajando en la realización del II Encuentro científico Cartagena 2033 - “Una visión de ciudad desde la mirada prospectiva del sector deportivo y recreativo” evento programado en el segundo semestre del 2025. Este evento está programado para finales del segundo semestre.  Revisado documento de la política de gestión del conocimiento e innovación por parte de la asesora de planeación del IDER, se procede a realizar las correcciones recomendadas por dicha oficina y nos encontramos a la espera de la convocatoria del comité institucional de gestión y desempeño para poner a consideración del mismo de la propuesta en mención.
En cuanto a la política pública, se propone integrar una comisión con la participación conformada por la Dirección General, la Oficina de Planeación y los jefes de área misionales para evaluar el  documento y presentarlo ante el CONPES, además se recomienda la participación de asesores especializados en la formulación de política pública para garantizar su éxito. Se continúan adelantando gestiones con la universidad Rafael Núñez para el desarrollo de una investigación cualitativa en uno de los programas que adelanta nuestro instituto. Para ello se realizó reunión presencial en las instalaciones del IDER. Se trabaja en la construcción de una crónica relacionada con el inicio y desarrollo del deporte y los juegos tradicionales en el barrio Getsemaní para su posterior publicación.</t>
    </r>
    <r>
      <rPr>
        <b/>
        <u/>
        <sz val="11"/>
        <color theme="1"/>
        <rFont val="Arial"/>
        <family val="2"/>
      </rPr>
      <t xml:space="preserve"> A CORTE  30 DE JUNIO DE 2025 </t>
    </r>
    <r>
      <rPr>
        <sz val="11"/>
        <color theme="1"/>
        <rFont val="Arial"/>
        <family val="2"/>
      </rPr>
      <t xml:space="preserve">:Se adelantan investigación preliminar para el desarrollo de una crónica histórico – deportiva relacionada con los escenarios deportivos en Cartagena para posterior elaboración y publicación, Se trabaja en la realización del II Encuentro científico Cartagena 2033 - “Una visión de ciudad desde la mirada prospectiva del sector deportivo y recreativo” evento programado en el segundo semestre del 2025,, Se han venido adelantando gestiones con la Universidad Rafael Núñez para el desarrollo de una investigación cualitativa en uno de los programas que adelanta nuestro instituto. Para tal efecto se programó reunión virtual con dicha universidad y las personas encargadas de la coordinación de la Escuela de Iniciación y Formación Deportiva el día 26 de junio de 2025. </t>
    </r>
    <r>
      <rPr>
        <b/>
        <u/>
        <sz val="11"/>
        <color theme="1"/>
        <rFont val="Arial"/>
        <family val="2"/>
      </rPr>
      <t xml:space="preserve"> DE ENERO A 10 DE JUNIO DE 2025 : </t>
    </r>
    <r>
      <rPr>
        <sz val="11"/>
        <color theme="1"/>
        <rFont val="Arial"/>
        <family val="2"/>
      </rPr>
      <t xml:space="preserve">Se concluyo la crónica y se publicó </t>
    </r>
    <r>
      <rPr>
        <b/>
        <sz val="11"/>
        <color theme="1"/>
        <rFont val="Arial"/>
        <family val="2"/>
      </rPr>
      <t>“ EL CAMINO DE LA CIENCIA EN EL DEPORTE Y LA RECREACIÓN EN CARTAGENA ”</t>
    </r>
    <r>
      <rPr>
        <sz val="11"/>
        <color theme="1"/>
        <rFont val="Arial"/>
        <family val="2"/>
      </rPr>
      <t xml:space="preserve"> que hace un relato histórico de los antecedentes y las acciones realizadas a través de la Política Pública del Distrito con miras a la aplicación de ciencias al sector deportivo y recreativo en la ciudad.  Se trabajó en el documento técnico de formulación de la política pública de gestión del conocimiento. Resaltando la importancia de la implementación de la política de gestión del conocimiento y la innovación, los principios que la fundamentan, los objetivos generales y específicos, el marco jurídico, y las fases de la política de gestión del conocimiento.</t>
    </r>
  </si>
  <si>
    <r>
      <rPr>
        <b/>
        <u/>
        <sz val="11"/>
        <color theme="1"/>
        <rFont val="Arial"/>
        <family val="2"/>
      </rPr>
      <t xml:space="preserve">A corte 15  de septiembre se reporta: 
</t>
    </r>
    <r>
      <rPr>
        <sz val="11"/>
        <color theme="1"/>
        <rFont val="Arial"/>
        <family val="2"/>
      </rPr>
      <t>A corte este periodo se encuentran 59 núcleos de Iniciación y Formación Deportiva, en las tres localidades del Distrito de Cartagena. 
•	Para este periodo se encuentran inscritos en los núcleos de los niveles de Iniciación Y Formación un total de 4.630 NNA beneficiarios de las 3 localidades (Loc1= 1298- Loc2=2040 – Loc3 = 1292) al corte del mes</t>
    </r>
    <r>
      <rPr>
        <b/>
        <u/>
        <sz val="11"/>
        <color theme="1"/>
        <rFont val="Arial"/>
        <family val="2"/>
      </rPr>
      <t xml:space="preserve">. A corte 31 de agosto se reporta: 
</t>
    </r>
    <r>
      <rPr>
        <sz val="11"/>
        <color theme="1"/>
        <rFont val="Arial"/>
        <family val="2"/>
      </rPr>
      <t>A corte este periodo se encuentran activos 59 núcleos de Iniciación y Formación Deportiva, en las tres localidades del Distrito de Cartagena. 
•	Para este periodo se cerró el link para el proceso de inscripción en los núcleos en procesos de los niveles de Iniciación Y Formación, para un total de 4.630 NNA beneficiarios de las 3 localidades (Loc1= 1298- Loc2=2040 – Loc3 = 1292) al corte del mes.</t>
    </r>
    <r>
      <rPr>
        <b/>
        <u/>
        <sz val="11"/>
        <color theme="1"/>
        <rFont val="Arial"/>
        <family val="2"/>
      </rPr>
      <t xml:space="preserve"> A corte 31 de julio se reporta: 
Atenciones periódicas 
</t>
    </r>
    <r>
      <rPr>
        <sz val="11"/>
        <color theme="1"/>
        <rFont val="Arial"/>
        <family val="2"/>
      </rPr>
      <t>•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t>
    </r>
    <r>
      <rPr>
        <b/>
        <u/>
        <sz val="11"/>
        <color theme="1"/>
        <rFont val="Arial"/>
        <family val="2"/>
      </rPr>
      <t xml:space="preserve">. A corte 31 de julio se reporta: 
</t>
    </r>
    <r>
      <rPr>
        <sz val="11"/>
        <color theme="1"/>
        <rFont val="Arial"/>
        <family val="2"/>
      </rPr>
      <t xml:space="preserve">•	Para este periodo se cerró el link para el proceso de inscripción en los núcleos en procesos de los niveles de Iniciación Y Formación, para un total de 4.630 NNA beneficiarios de las 3 localidades (Loc1= 1298- Loc2=2040 – Loc3 = 1292) al corte del mes. 
•	Para este periodo se cerró el proceso de inscripción el nivel de Énfasis vinculado a 1630 niños, niñas, adolescentes y jóvenes inscritos.
•	Para este periodo se cerró el proceso de nivel de Perfeccionamiento vinculado a 175  jóvenes inscritos. </t>
    </r>
    <r>
      <rPr>
        <b/>
        <u/>
        <sz val="11"/>
        <color theme="1"/>
        <rFont val="Arial"/>
        <family val="2"/>
      </rPr>
      <t xml:space="preserve">A corte 30 de junio se reporta: 
</t>
    </r>
    <r>
      <rPr>
        <sz val="11"/>
        <color theme="1"/>
        <rFont val="Arial"/>
        <family val="2"/>
      </rPr>
      <t xml:space="preserve">•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t>
    </r>
    <r>
      <rPr>
        <u/>
        <sz val="11"/>
        <color theme="1"/>
        <rFont val="Arial"/>
        <family val="2"/>
      </rPr>
      <t>y</t>
    </r>
    <r>
      <rPr>
        <sz val="11"/>
        <color theme="1"/>
        <rFont val="Arial"/>
        <family val="2"/>
      </rPr>
      <t xml:space="preserve"> jóvenes inscritos.
•	Se continuó con el proceso de inscripción el  nivel de Perfeccionamiento vinculado a 175  jóvenes inscritos.</t>
    </r>
    <r>
      <rPr>
        <u/>
        <sz val="11"/>
        <color theme="1"/>
        <rFont val="Arial"/>
        <family val="2"/>
      </rPr>
      <t xml:space="preserve">
</t>
    </r>
    <r>
      <rPr>
        <sz val="11"/>
        <color theme="1"/>
        <rFont val="Arial"/>
        <family val="2"/>
      </rPr>
      <t>A corte este periodo se encuentran mantenidos 55 núcleos de Iniciación y Formación Deportiva, en las tres localidades del Distrito de Cartagena.</t>
    </r>
  </si>
  <si>
    <r>
      <rPr>
        <b/>
        <u/>
        <sz val="11"/>
        <color theme="1"/>
        <rFont val="Arial"/>
        <family val="2"/>
      </rPr>
      <t xml:space="preserve">A CORTE DE SEPTIEMBRE DE 2025: </t>
    </r>
    <r>
      <rPr>
        <sz val="11"/>
        <color theme="1"/>
        <rFont val="Arial"/>
        <family val="2"/>
      </rPr>
      <t>Se fija como fecha tentativa para la realización del II Encuentro científico Cartagena 2033 - “Una visión de ciudad desde la mirada prospectiva del sector deportivo y recreativo” los días 3, 4 y 5 de diciembre del 2025. De igual manera se continúa trabajando en la organización, elaborando cronogramas y realizando mesas de trabajos para la organización previa</t>
    </r>
    <r>
      <rPr>
        <b/>
        <u/>
        <sz val="11"/>
        <color theme="1"/>
        <rFont val="Arial"/>
        <family val="2"/>
      </rPr>
      <t xml:space="preserve">. </t>
    </r>
    <r>
      <rPr>
        <sz val="11"/>
        <color theme="1"/>
        <rFont val="Arial"/>
        <family val="2"/>
      </rPr>
      <t xml:space="preserve">  En alianza con la Corporacion Universitaria Rafael Nuñez – CURN - se participa en el Evento de Encuentro de Universidades promotoras de salud - VIII RED CUPS, para favorecer la aplicación de la ciencia en los procesos de deporte, recreación y actividad física en los campos universitarios. En el marco del II Encuentro científico Cartagena 2033  “Una visión de ciudad desde la mirada prospectiva del sector deportivo y recreativo”, se proyecta la realización de encuentros de semilleros de investigación científica relacionado con el sector deportivo y recreativo. Lo anterior basado en los convenios establecidos con las diferentes universidades. CURN - Aunar esfuerzos en campos de común interés, específicamente en el desarrollo de proyectos académicos, de investigación y extensión que coadyuven al desarrollo del deporte e incentiven la participación de los actores del sistema del deporte y las actividades recreativas en el Distrito de Cartagena. Red Colombiana de Semilleros de Investigación - Articulación con los distintos de semilleros de investigación de niños y adolescentes.      </t>
    </r>
    <r>
      <rPr>
        <b/>
        <u/>
        <sz val="11"/>
        <color theme="1"/>
        <rFont val="Arial"/>
        <family val="2"/>
      </rPr>
      <t xml:space="preserve">  A CORTE DE AGOSTO DE 2025</t>
    </r>
    <r>
      <rPr>
        <u/>
        <sz val="11"/>
        <color theme="1"/>
        <rFont val="Arial"/>
        <family val="2"/>
      </rPr>
      <t>:</t>
    </r>
    <r>
      <rPr>
        <sz val="11"/>
        <color theme="1"/>
        <rFont val="Arial"/>
        <family val="2"/>
      </rPr>
      <t xml:space="preserve"> Se realiza publicación de las actividades correspondientes el periodo, dentro de ellas el evento realizado el día 11 de agosto del 2025 DIALOGOS DEPORTIVOS CON LA COMUNIDAD, el cual fue realizado del Complejo de Raquetas.   Se continúa en la organización del II Encuentro científico Cartagena 2033 - “Una visión de ciudad desde la mirada prospectiva del sector deportivo y recreativo” evento programado en el segundo semestre del 2025. Este evento está programado para finales del segundo semestre. Se realizó la presentación de los estudiantes en prácticas con las diferentes universidades de la ciudad, con quienes se ha venido dialogando respecto a la conformación del semillero de investigación en desarrollo de sus practicas académicas. Para tal efecto realizaran actividades investigativas   con dicha población estudiantil con el objeto de obtener como producto al final del periodo, insumos y artículos que alimenten la investigación en el proceso de ciencias aplicadas al deporte, Se realizó trabajo articulado con funcionarios de la secretaria de educación a cargo del seguimiento de la política pública de esa dependencia y la oficina de planeación del IDER. A través de esta experiencia se le suministró información de los indicadores de actividades deportivas y recreativas que tienen relación con el desarrollo de la política pública distrital de educación. En el caso especifico del observatorio se brindo la información sobre el lineamiento de la apropiación social del conocimiento que se fundamenta como cumplimiento del objetivo II del proyecto de fortalecimiento del capital humano el cual dice: “Aumentar la apropiación social de conocimiento sobre el sector deporte”. Para el cumplimiento de lo anterior, se han venido estableciendo convenios con las diferentes universidades.Se continúa en la organización del II Encuentro científico Cartagena 2033 - “Una visión de ciudad desde la mirada prospectiva del sector deportivo y recreativo” evento programado en el segundo semestre del 2025. Este evento está programado para finales del segundo semestre.  </t>
    </r>
    <r>
      <rPr>
        <b/>
        <u/>
        <sz val="11"/>
        <color theme="1"/>
        <rFont val="Arial"/>
        <family val="2"/>
      </rPr>
      <t xml:space="preserve"> A  CORTE 31 DE JULIO DE 2025 :</t>
    </r>
    <r>
      <rPr>
        <sz val="11"/>
        <color theme="1"/>
        <rFont val="Arial"/>
        <family val="2"/>
      </rPr>
      <t xml:space="preserve"> Revisada la propuesta de resolución por parte de la oficina de planeación y acatando las observaciones de dicha oficina, se procede a enviar el documento a la dirección general, dirección de fomento deportivo y recreativo y a la oficina asesora jurídica para lo pertinente. Se continua en los diálogos con la Universidad Rafael Núñez y con el estímulo a los estudiantes de la Fundación Internacional de Educación Elyon Yireh para la conformación del semillero de investigación previa formación de los semilleristas </t>
    </r>
    <r>
      <rPr>
        <b/>
        <u/>
        <sz val="11"/>
        <color theme="1"/>
        <rFont val="Arial"/>
        <family val="2"/>
      </rPr>
      <t xml:space="preserve">.A CORTE 30 DE JUNIO DE 2025 : </t>
    </r>
    <r>
      <rPr>
        <sz val="11"/>
        <color theme="1"/>
        <rFont val="Arial"/>
        <family val="2"/>
      </rPr>
      <t xml:space="preserve">  De acuerdo con las instrucciones impartidas por el Asesor Externo en materia de MIPG se elaboró documento técnico de formulación de la política pública de gestión del conocimiento e innovación. Documento que será enviado a la oficina de planeación del Instituto Distrital de Deporte y Recreación para su revisión y posterior presentación a la Dirección General del Instituto.Se elaboró y presento a la oficina de fomento deportivo borrador de la resolución de modificación y actualización de la resolución 147 de junio de 2014 que creo el observatorio de ciencias aplicadas al deporte y la recreación en Cartagena de indias. Organismo adscrito al Instituto Distrital de Deporte y Recreación IDER,Se adelantan investigación preliminar para el desarrollo de una crónica histórico – deportiva relacionada con los escenarios deportivos en Cartagena para posterior elaboración y publicación, Se han venido adelantado con la universidad Rafael Núñez para desarrollar investigaciones a través del observatorio y la implementación del semillero de investigación de dicho organismo; En el marco de la alianza con la fundación Internacional de Educación Elyon Yireh se han venido realizando trabajos articulados en desarrollo del programa Diálogos Deportivos con la Comunidad, El Deporte como constructor de Paz. Para efectos de invitar a los estudiantes de la carrera técnica de entrenamiento deportivo de la entidad en mención al semillero de investigación del observatorio de ciencias aplicadas al deporte y la recreación </t>
    </r>
    <r>
      <rPr>
        <b/>
        <u/>
        <sz val="11"/>
        <color theme="1"/>
        <rFont val="Arial"/>
        <family val="2"/>
      </rPr>
      <t xml:space="preserve"> De enero a 10 de junio de 2025 </t>
    </r>
    <r>
      <rPr>
        <b/>
        <sz val="11"/>
        <color theme="1"/>
        <rFont val="Arial"/>
        <family val="2"/>
      </rPr>
      <t>:</t>
    </r>
    <r>
      <rPr>
        <sz val="11"/>
        <color theme="1"/>
        <rFont val="Arial"/>
        <family val="2"/>
      </rPr>
      <t xml:space="preserve">Se adelanta borrador en la contruccion de Política Gestión Del Conocimiento y La Innovación, esta se encuentra en un avance del 80%,Se caracterizo el perfil academinco de los docentes de las EIFD del area de Deporte y de los monitores de los juegos deportivos corrigimentales del Instituto IDER, Se realizó mesa de trabajo con la universidad Rafael Nuñez para la implementacion del semillero de investigación,  Se firma por parte de la direccion del IDER convenio con Coorporacion Universitaria mayor de Bolivar, convenio Universidad del Sinú, se realizaron diferentes actividades de aprociación social del conocimiento dentro de la que se encuentra congreso con la Corporación Universitaria Elyon Yireh , capacitación en temas recreativas y MIPG.  </t>
    </r>
    <r>
      <rPr>
        <b/>
        <sz val="11"/>
        <color theme="1"/>
        <rFont val="Arial"/>
        <family val="2"/>
      </rPr>
      <t>De enero a mayo de 2025: Generar alianzas para la producción de conocimiento científico sobre el sector deporte:</t>
    </r>
    <r>
      <rPr>
        <sz val="11"/>
        <color theme="1"/>
        <rFont val="Arial"/>
        <family val="2"/>
      </rPr>
      <t xml:space="preserve"> Se elabora minuta sobre la propuesta del convenio marco con la Universidad Los Libertadores y se envía a la oficina jurídica del IDER para su estudio y posterior aprobación. </t>
    </r>
    <r>
      <rPr>
        <b/>
        <sz val="11"/>
        <color theme="1"/>
        <rFont val="Arial"/>
        <family val="2"/>
      </rPr>
      <t>Desarrollar encuentros científicos :</t>
    </r>
    <r>
      <rPr>
        <sz val="11"/>
        <color theme="1"/>
        <rFont val="Arial"/>
        <family val="2"/>
      </rPr>
      <t xml:space="preserve">Se trabaja en la realización del II Encuentro científico Cartagena 2033 - “Una visión de ciudad desde la mirada prospectiva del sector deportivo y recreativo” el cual se realizará en el segundo semestre del presente año.Implementar un banco de datos sobre el sector deporte. A través del sistema de información de deporte y recreación distrital se han continuado caracterizando los asistentes de los distintos eventos académicos durante el mes en mención.Se continua con el seguimiento al proceso de formación académica a los servidores del IDER con el objeto de fortalecer el capital humano del sector. En la actualidad, se realiza supervisión del desarrollo de la carrera técnica de eventos deportivos y recreativos que en asocio con el SENA viene realizando nuestra institución.
</t>
    </r>
  </si>
  <si>
    <r>
      <rPr>
        <b/>
        <u/>
        <sz val="11"/>
        <color theme="1"/>
        <rFont val="Arial"/>
        <family val="2"/>
      </rPr>
      <t xml:space="preserve">A CORTE DE SEPTIEMBRE DE 2025 </t>
    </r>
    <r>
      <rPr>
        <sz val="11"/>
        <color theme="1"/>
        <rFont val="Arial"/>
        <family val="2"/>
      </rPr>
      <t xml:space="preserve">:La reconstrucción de la cancha sintetica del barrio Fredonia presenta un avance de obra del 30% y el Parque Flanagan un avance del 50%. </t>
    </r>
    <r>
      <rPr>
        <b/>
        <u/>
        <sz val="11"/>
        <color theme="1"/>
        <rFont val="Arial"/>
        <family val="2"/>
      </rPr>
      <t>Durante el mes de agosto de 2025</t>
    </r>
    <r>
      <rPr>
        <sz val="11"/>
        <color theme="1"/>
        <rFont val="Arial"/>
        <family val="2"/>
      </rPr>
      <t xml:space="preserve">: Se realizarón las siguientes acciones y/o avance de obra: </t>
    </r>
    <r>
      <rPr>
        <b/>
        <sz val="11"/>
        <color theme="1"/>
        <rFont val="Arial"/>
        <family val="2"/>
      </rPr>
      <t xml:space="preserve">                                                                                                                                                                                                                                                                    </t>
    </r>
    <r>
      <rPr>
        <b/>
        <u/>
        <sz val="11"/>
        <color theme="1"/>
        <rFont val="Arial"/>
        <family val="2"/>
      </rPr>
      <t>oCONTRATO No. 800-2025</t>
    </r>
    <r>
      <rPr>
        <sz val="11"/>
        <color theme="1"/>
        <rFont val="Arial"/>
        <family val="2"/>
      </rPr>
      <t xml:space="preserve">: GERENCIA INTEGRAL DEL PROYECTO “CONSTRUCCIÓN, RECONSTRUCCIÓN Y ADECUACIÓN DE ESCENARIOS DEPORTIVOS DEL DISTRITO DE CARTAGENA”.
INVERSIÓN TOTAL: $10.946.594.165,83   LOCALIDAD 1 HISTÓRICA Y DEL CARIBE NORTE, UCG 1, N° DE BENEFICIARIOS: 6.768, LOCALIDAD 2 DE LA VIRGEN Y TURÍSTICA
UCG 6, N° DE BENEFICIARIOS: 62.871, </t>
    </r>
    <r>
      <rPr>
        <b/>
        <u/>
        <sz val="11"/>
        <color theme="1"/>
        <rFont val="Arial"/>
        <family val="2"/>
      </rPr>
      <t xml:space="preserve"> </t>
    </r>
    <r>
      <rPr>
        <sz val="11"/>
        <color theme="1"/>
        <rFont val="Arial"/>
        <family val="2"/>
      </rPr>
      <t xml:space="preserve">se encuentra las siguientes obras: </t>
    </r>
    <r>
      <rPr>
        <b/>
        <u/>
        <sz val="11"/>
        <color theme="1"/>
        <rFont val="Arial"/>
        <family val="2"/>
      </rPr>
      <t xml:space="preserve">Reconstrucción Cancha Sintentica  Barrio Fredonia </t>
    </r>
    <r>
      <rPr>
        <sz val="11"/>
        <color theme="1"/>
        <rFont val="Arial"/>
        <family val="2"/>
      </rPr>
      <t>valor : $1.991.255.325 Porcentaje de Avance Ejecutado Acumulado: 19% avances en Localización y Replanteo, Cerramiento Provisional en tela verde, Desmonte de Grama sintética, Desmonte de Malla eslabonada, Desmonte de estructura de cubierta, Demolición de muro perimetral de cancha, Demolición de bordillo y Andenes, Excavación Manual para cimentación,  Desmonte de adoquines existentes,  Relleno en material seleccionado.</t>
    </r>
    <r>
      <rPr>
        <b/>
        <u/>
        <sz val="11"/>
        <color theme="1"/>
        <rFont val="Arial"/>
        <family val="2"/>
      </rPr>
      <t xml:space="preserve"> </t>
    </r>
    <r>
      <rPr>
        <sz val="11"/>
        <color theme="1"/>
        <rFont val="Arial"/>
        <family val="2"/>
      </rPr>
      <t xml:space="preserve">y </t>
    </r>
    <r>
      <rPr>
        <b/>
        <u/>
        <sz val="11"/>
        <color theme="1"/>
        <rFont val="Arial"/>
        <family val="2"/>
      </rPr>
      <t xml:space="preserve"> Reconstrucción Parque Flanagan </t>
    </r>
    <r>
      <rPr>
        <sz val="11"/>
        <color theme="1"/>
        <rFont val="Arial"/>
        <family val="2"/>
      </rPr>
      <t xml:space="preserve">valor: $$5.074.340.137  Porcentaje de Avance Ejecutado Acumulado: 28%, avances en Localización y Replanteo,  Cerramiento Perimetral,  Desmonte de  adoquines,  Excavación para cimentación,  Demolición de bordillos,  Demolición de Jardineras existentes, Demolición de placas existentes,  Retiro de material de excavación,  Desmonte de poste de energía,  Solado Para cimentación,  Figurado y colocación de acero de refuerzo,  Fundida de zapatas en concreto,  Levante de muro en Block, Excavaciones Alcorque de jardineras.  </t>
    </r>
    <r>
      <rPr>
        <sz val="14"/>
        <color theme="1"/>
        <rFont val="Arial"/>
        <family val="2"/>
      </rPr>
      <t xml:space="preserve">
</t>
    </r>
  </si>
  <si>
    <r>
      <rPr>
        <b/>
        <u/>
        <sz val="11"/>
        <color theme="1"/>
        <rFont val="Arial"/>
        <family val="2"/>
      </rPr>
      <t xml:space="preserve">A CORTE DE SEPTIEMBRE DE 2025: </t>
    </r>
    <r>
      <rPr>
        <sz val="11"/>
        <color theme="1"/>
        <rFont val="Arial"/>
        <family val="2"/>
      </rPr>
      <t xml:space="preserve"> El Parque Centenario  el mejoramiento y adecuación de las canchas se encuentran en  avance de obra del  30%. </t>
    </r>
    <r>
      <rPr>
        <b/>
        <u/>
        <sz val="11"/>
        <color theme="1"/>
        <rFont val="Arial"/>
        <family val="2"/>
      </rPr>
      <t>A CORTE DE SEPTIEMBRE DE 2025: o	CONTRATO No. 1048-2025
“</t>
    </r>
    <r>
      <rPr>
        <sz val="11"/>
        <color theme="1"/>
        <rFont val="Arial"/>
        <family val="2"/>
      </rPr>
      <t xml:space="preserve">MEJORAMIENTO Y ADECUACIÓN DEL TEMPLO DEL FUTBOL MENOR, UBICADO EN EL BARRIO ALAMEDA LA VICTORIA, DISTRITO DE CARTAGENA”., INVERSIÓN TOTAL: $ 10.738.363.919,00, LOCALIDAD 3 INDUSTRIAL Y DE LA BAHÍA, UCG 14, N° DE BENEFICIARIOS: 5.292
Estado: ACTA DE INICIO 9 de Septiembre, o	CONTRATO INTERVENTORÍA No. 1049-2025, “INTERVENTORÍA INTEGRAL AL PROYECTO DE MEJORAMIENTO Y ADECUACIÓN DEL TEMPLO DEL FUTBOL MENOR, UBICADO EN EL BARRIO ALAMEDA LA VICTORIA, DISTRITO DE CARTAGENA”., INVERSIÓN TOTAL: $ 528.440.920,00, LOCALIDAD 3 INDUSTRIAL Y DE LA BAHÍA, UCG 14, N° DE BENEFICIARIOS: 5.292
Estado: ACTA DE INICIO 9 de Septiembre. </t>
    </r>
    <r>
      <rPr>
        <b/>
        <u/>
        <sz val="11"/>
        <color theme="1"/>
        <rFont val="Arial"/>
        <family val="2"/>
      </rPr>
      <t>A CORTE DE SEPTIEMBRE DE 2025:</t>
    </r>
    <r>
      <rPr>
        <sz val="11"/>
        <color theme="1"/>
        <rFont val="Arial"/>
        <family val="2"/>
      </rPr>
      <t xml:space="preserve"> •	Durante el período de este reporte de la vigencia 2025, en los Escenarios Deportivos Mayores, Medianos y Menores se implementó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Díaz”, Estadio de Softbol “Argemiro Bermúdez Villadiego”), mantenimiento de Piscinas del Complejo Acuático Jaime González Johnson de acuerdo a Planes de Trabajo, recuperación y mantenimiento a las zonas verdes y jardines de los Escenarios Deportivos. De esta manera, se busca cumplir con las expectativas de los usuarios para el uso, goce y disfrute.	•Con relación a la autorización permisos para el uso temporal y/o permanente de los escenarios deportivos la población que se busca impactar por el uso y disfrute de los escenarios deportivos y recreativos, hemos logrado generar un total de 953 permisos expedidos y así impactar a 73.472 personas entre Deportistas, Entrenadores, Administrativos y Aficionados; estadísticas que se obtienen de la contabilización por permisos, obviando la recurrencia de los días que ingresan a los escenarios deportivos. ESTADÍSTICAS DE INGRESO DIARIO DE PERSONAS A ESCENARIOS DEPORTIVOS</t>
    </r>
    <r>
      <rPr>
        <b/>
        <u/>
        <sz val="11"/>
        <color theme="1"/>
        <rFont val="Arial"/>
        <family val="2"/>
      </rPr>
      <t xml:space="preserve"> A corte de 15 de Septiembre </t>
    </r>
    <r>
      <rPr>
        <sz val="11"/>
        <color theme="1"/>
        <rFont val="Arial"/>
        <family val="2"/>
      </rPr>
      <t>se registra un total de 236 permisos, categorizados por Deportistas (D), Entrenadores (E), Administrativos (AD) y Aficionados (AF), con un estimado de 206.872 usuarios personas.  •Para el buen funcionamiento de los escenarios deportivos es necesario contar con los servicios públicos. A la fecha se encuentran al día con los pagos de los servicios públicos de los escenarios deportivos con corte mes de Agosto 2025..</t>
    </r>
    <r>
      <rPr>
        <b/>
        <u/>
        <sz val="11"/>
        <color theme="1"/>
        <rFont val="Arial"/>
        <family val="2"/>
      </rPr>
      <t xml:space="preserve">A corte agosto de 2025:o	CONTRATO No. 1048-2025 </t>
    </r>
    <r>
      <rPr>
        <b/>
        <sz val="11"/>
        <color theme="1"/>
        <rFont val="Arial"/>
        <family val="2"/>
      </rPr>
      <t>“</t>
    </r>
    <r>
      <rPr>
        <sz val="11"/>
        <color theme="1"/>
        <rFont val="Arial"/>
        <family val="2"/>
      </rPr>
      <t xml:space="preserve">MEJORAMIENTO Y ADECUACIÓN DEL TEMPLO DEL FUTBOL MENOR, UBICADO EN EL BARRIO ALAMEDA LA VICTORIA, DISTRITO DE CARTAGENA”.INVERSIÓN TOTAL: $ 10.738.363.919,00, LOCALIDAD 3 INDUSTRIAL Y DE LA BAHÍA UCG 14 N° DE BENEFICIARIOS: 5.292
Estado: PENDIENTE POR INICIAR  </t>
    </r>
    <r>
      <rPr>
        <b/>
        <u/>
        <sz val="11"/>
        <color theme="1"/>
        <rFont val="Arial"/>
        <family val="2"/>
      </rPr>
      <t xml:space="preserve">oCONTRATO INTERVENTORÍA No. 1049-2025 </t>
    </r>
    <r>
      <rPr>
        <b/>
        <sz val="11"/>
        <color theme="1"/>
        <rFont val="Arial"/>
        <family val="2"/>
      </rPr>
      <t>“</t>
    </r>
    <r>
      <rPr>
        <sz val="11"/>
        <color theme="1"/>
        <rFont val="Arial"/>
        <family val="2"/>
      </rPr>
      <t>INTERVENTORÍA INTEGRAL AL PROYECTO DE MEJORAMIENTO Y ADECUACIÓN DEL TEMPLO DEL FUTBOL MENOR, UBICADO EN EL BARRIO ALAMEDA LA VICTORIA, DISTRITO DE CARTAGENA”.
INVERSIÓN TOTAL: $ 528.440.920,00 LOCALIDAD 3 INDUSTRIAL Y DE LA BAHÍA, UCG 14 N° DE BENEFICIARIOS: 5.292 Estado: PENDIENTE POR INICIAR</t>
    </r>
    <r>
      <rPr>
        <b/>
        <u/>
        <sz val="11"/>
        <color theme="1"/>
        <rFont val="Arial"/>
        <family val="2"/>
      </rPr>
      <t xml:space="preserve">
</t>
    </r>
    <r>
      <rPr>
        <sz val="11"/>
        <color theme="1"/>
        <rFont val="Arial"/>
        <family val="2"/>
      </rPr>
      <t xml:space="preserve"> Se han realizado las siguientes acciones principales en las que se han intervenido los escenarios deportivos de acuerdo y siguiendo con el plan de priorización para la vigencia 2025, la intervención puede consistir en preventiva, correctiva, recurrente, según el caso y la necesidad que requiera dicho escenario.Los Mantenimientos Preventivos Recurrentes (MPR) son actividades de mantenimientos que consiste en aseo, pintura, arreglo de sanitarios, arreglos eléctricos, poda y jardinería en algunos casos. Esto conlleva a una mejor presentación de los Escenarios Deportivos. A la fecha de este informe, se han realizado 227 acciones de Mantenimiento Preventivo Recurrente (MPR) a Escenarios Deportivos, por lo menos una vez en lo que va corrido del año, de Enero a 31 de Agosto 2025. Con relación a la autorización permisos para el uso temporal y/o permanente de los escenarios deportivos la población que se busca impactar por el uso y disfrute de los escenarios deportivos y recreativos, hemos logrado generar un total de</t>
    </r>
    <r>
      <rPr>
        <b/>
        <u/>
        <sz val="11"/>
        <color theme="1"/>
        <rFont val="Arial"/>
        <family val="2"/>
      </rPr>
      <t xml:space="preserve"> 896</t>
    </r>
    <r>
      <rPr>
        <sz val="11"/>
        <color theme="1"/>
        <rFont val="Arial"/>
        <family val="2"/>
      </rPr>
      <t xml:space="preserve"> permisos expedidos y así impactar a </t>
    </r>
    <r>
      <rPr>
        <b/>
        <u/>
        <sz val="11"/>
        <color theme="1"/>
        <rFont val="Arial"/>
        <family val="2"/>
      </rPr>
      <t>68.309</t>
    </r>
    <r>
      <rPr>
        <sz val="11"/>
        <color theme="1"/>
        <rFont val="Arial"/>
        <family val="2"/>
      </rPr>
      <t xml:space="preserve"> personas entre Deportistas, Entrenadores, Administrativos y Aficionados; estadísticas que se obtienen de la contabilización por permisos, obviando la recurrencia de los días que ingresan a los escenarios deportivos. A corte de 31 de Agosto se registra un total de </t>
    </r>
    <r>
      <rPr>
        <b/>
        <u/>
        <sz val="11"/>
        <color theme="1"/>
        <rFont val="Arial"/>
        <family val="2"/>
      </rPr>
      <t>328</t>
    </r>
    <r>
      <rPr>
        <sz val="11"/>
        <color theme="1"/>
        <rFont val="Arial"/>
        <family val="2"/>
      </rPr>
      <t xml:space="preserve"> permisos, categorizados por Deportistas (D), Entrenadores (E), Administrativos (AD) y Aficionados (AF), con un estimado de </t>
    </r>
    <r>
      <rPr>
        <b/>
        <u/>
        <sz val="11"/>
        <color theme="1"/>
        <rFont val="Arial"/>
        <family val="2"/>
      </rPr>
      <t>209.139</t>
    </r>
    <r>
      <rPr>
        <sz val="11"/>
        <color theme="1"/>
        <rFont val="Arial"/>
        <family val="2"/>
      </rPr>
      <t xml:space="preserve"> usuarios personas. Se precisa que la verificación de las asistencias se realiza a través de las planillas de registros de los Escenarios Deportivos reportadas en la meta. Personas que acceden a servicios deportivos, recreativos y de actividad física. Cabe aclarar que las estadísticas son suministradas por los Coordinadores de Escenarios Deportivos de cada Localidad. Para el buen funcionamiento de los escenarios deportivos es necesario contar con los servicios públicos. A la fecha se encuentran al día con los pagos de los servicios públicos de los escenarios deportivos con corte mes de Julio 2025 </t>
    </r>
    <r>
      <rPr>
        <b/>
        <u/>
        <sz val="11"/>
        <color theme="1"/>
        <rFont val="Arial"/>
        <family val="2"/>
      </rPr>
      <t xml:space="preserve"> A corte Julio de 2025:</t>
    </r>
    <r>
      <rPr>
        <sz val="11"/>
        <color theme="1"/>
        <rFont val="Arial"/>
        <family val="2"/>
      </rPr>
      <t xml:space="preserve"> A la fecha de este informe, se han realizado 215 acciones de mantenimiento preventivo recurrente a Escenarios Deportivos, por lo menos una vez en lo que va corrido del año,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Con relación a la autorización permisos para el uso temporal y/o permanente de los escenarios deportivos la población que se busca impactar por el uso y disfrute de los escenarios deportivos y recreativos, hemos logrado generar un total de 742  permisos expedidos y así impactar a 46.829 personas entre Deportistas, Entrenadores, Administrativos y Aficionados; estadísticas que se obtienen de la contabilización por permisos, obviando la recurrencia de los días que ingresan a los escenarios deportivos. •Para el buen funcionamiento de los escenarios deportivos es necesario contar con los servicios públicos. A la fecha se encuentran al día al mes de junio de 2025.                                                                                                                                                  o</t>
    </r>
    <r>
      <rPr>
        <b/>
        <u/>
        <sz val="11"/>
        <color theme="1"/>
        <rFont val="Arial"/>
        <family val="2"/>
      </rPr>
      <t xml:space="preserve">	CONTRATO No. 800-2025: </t>
    </r>
    <r>
      <rPr>
        <sz val="11"/>
        <color theme="1"/>
        <rFont val="Arial"/>
        <family val="2"/>
      </rPr>
      <t xml:space="preserve">GERENCIA INTEGRAL DEL PROYECTO “CONSTRUCCIÓN, RECONSTRUCCIÓN Y ADECUACIÓN DE ESCENARIOS DEPORTIVOS DEL DISTRITO DE CARTAGENA”.
INVERSIÓN TOTAL: $10.946.594.165,83   LOCALIDAD 1 HISTÓRICA Y DEL CARIBE NORTE, UCG 1, N° DE BENEFICIARIOS: 6.768, LOCALIDAD 2 DE LA VIRGEN Y TURÍSTICA
UCG 6, N° DE BENEFICIARIOS: 62.871,  , se encuentra la siguiente obra :Mantenimiento y adecuación </t>
    </r>
    <r>
      <rPr>
        <b/>
        <u/>
        <sz val="11"/>
        <color theme="1"/>
        <rFont val="Arial"/>
        <family val="2"/>
      </rPr>
      <t>canchas Parque Centario</t>
    </r>
    <r>
      <rPr>
        <sz val="11"/>
        <color theme="1"/>
        <rFont val="Arial"/>
        <family val="2"/>
      </rPr>
      <t xml:space="preserve"> valor: $  1.991.255.325. Porcentaje de Avance Ejecutado Acumulado: 2% avance en Localización y Replanteo,  Desmonte  de Malla eslabonada, Desmonete de estructura de cubierta, Demoliciones, Demolición de bordillo y andenes. </t>
    </r>
  </si>
  <si>
    <r>
      <rPr>
        <b/>
        <u/>
        <sz val="11"/>
        <color theme="1"/>
        <rFont val="Arial"/>
        <family val="2"/>
      </rPr>
      <t xml:space="preserve">A  CORTE DE SEPTIEMBRE DE 2025:  </t>
    </r>
    <r>
      <rPr>
        <sz val="11"/>
        <color theme="1"/>
        <rFont val="Arial"/>
        <family val="2"/>
      </rPr>
      <t xml:space="preserve">La Unidad Recreativa y Deportiva de  Villas de la Candelaria se encuentra en 40% de avance de obra </t>
    </r>
    <r>
      <rPr>
        <b/>
        <u/>
        <sz val="11"/>
        <color theme="1"/>
        <rFont val="Arial"/>
        <family val="2"/>
      </rPr>
      <t>. A corte 31 de julio de 2025 :</t>
    </r>
    <r>
      <rPr>
        <b/>
        <sz val="11"/>
        <color theme="1"/>
        <rFont val="Arial"/>
        <family val="2"/>
      </rPr>
      <t xml:space="preserve">     o	CONTRATO No. 800-2025</t>
    </r>
    <r>
      <rPr>
        <sz val="11"/>
        <color theme="1"/>
        <rFont val="Arial"/>
        <family val="2"/>
      </rPr>
      <t xml:space="preserve">
GERENCIA INTEGRAL DEL PROYECTO “CONSTRUCCIÓN, RECONSTRUCCIÓN Y ADECUACIÓN DE ESCENARIOS DEPORTIVOS DEL DISTRITO DE CARTAGENA”.
INVERSIÓN TOTAL: $10.946.594.165,83   LOCALIDAD 1 HISTÓRICA Y DEL CARIBE NORTE, UCG 1
N° DE BENEFICIARIOS: 6.768, LOCALIDAD 2 DE LA VIRGEN Y TURÍSTICA UCG 6..se encuentra la siguiente obra :  Construcción URD  Villas de la Candelaria 2 valor: $2.054.620.230   Porcentaje de Avance Ejecutado Acumulado: 20% avances en Localización Replanteo,  Cerramiento perimetral en lona verde., Construcción de campamento Perimetral., Descapote, Demolición de placas existentes, Retiro de Material de Desmonte.. Se iniciarán  la construcción de nuevos escenarios deportivos en el segundo semestre del año 2025 con recursos de incorporación en el presupuesto de inversión del Distrito de Cartagena de Indias asignado al Despacho del Alcalde , vigencia fiscal 2025. (Decreto No. 1644 del 26 de junio de 2025). Los escenarios son : El Coliseo del Norte , por valor de $ 37.915.567.964, Centro Deportivo Bayunca por valor de $14.798.026.750 y Escenario Recreo-Deportivo Manzanillo por valor de $11.819.469.028</t>
    </r>
  </si>
  <si>
    <t xml:space="preserve">TECNOLOGICO COMFENALCO </t>
  </si>
  <si>
    <t>JUVENTUD</t>
  </si>
  <si>
    <t xml:space="preserve">RUN MOVISTAR </t>
  </si>
  <si>
    <t xml:space="preserve">CARRERA POR LOS HEROES </t>
  </si>
  <si>
    <t>CARRERA POR LA VIDA</t>
  </si>
  <si>
    <t>FAMILY COLOR RUN</t>
  </si>
  <si>
    <t xml:space="preserve">TALENTO HUMANO </t>
  </si>
  <si>
    <t xml:space="preserve">JOVEN RUN </t>
  </si>
  <si>
    <t xml:space="preserve">CARRERA SIN LIMITE (DISCAPACIDAD) </t>
  </si>
  <si>
    <t xml:space="preserve">DIA MUNDIAL DE LA ACTIVIDAD FISICA ( TOMA DE CENTRO COMERCIALES </t>
  </si>
  <si>
    <t>NIT</t>
  </si>
  <si>
    <t xml:space="preserve">PERSONAS BENEFICIADAS </t>
  </si>
  <si>
    <t xml:space="preserve">FRESATTA (NO DIGA EL NOMBRE-PORQUE E HIZO DESPUES DEL 15 DE SEPTIEMBRE ) </t>
  </si>
  <si>
    <t xml:space="preserve">GRAN TOTAL </t>
  </si>
  <si>
    <r>
      <rPr>
        <b/>
        <u/>
        <sz val="11"/>
        <color theme="1"/>
        <rFont val="Arial"/>
        <family val="2"/>
      </rPr>
      <t>DE ENERO A SEPTIEMBRE DE 2025 :</t>
    </r>
    <r>
      <rPr>
        <b/>
        <sz val="11"/>
        <color theme="1"/>
        <rFont val="Arial"/>
        <family val="2"/>
      </rPr>
      <t xml:space="preserve"> </t>
    </r>
    <r>
      <rPr>
        <sz val="11"/>
        <color theme="1"/>
        <rFont val="Arial"/>
        <family val="2"/>
      </rPr>
      <t>Se desarrollaron y/o apoyaron De los quince (15)eventos recreativos y de hábitos se beneficiaron a 29.969 personas aproximadamente. Los cuales se describen a continuación :La Candelaria, Media Maraton del Mar Kids, UTB GO,CARRERA POR LOS
HEROESDIA DE LAS MADRES,  CUMPLEAÑOS DE CARTAGENA ,MARATON REGIONES 
COLOMBIA, JOVEN RUN, GRAN RETICO, RUN MOVISTAR,TECNOLOGICO COMFENALCO
(THE FAMILY RUN), CARRERA 11K SAN 
VALENTIN, CARRERA ATLETICA 5K, HEROES DE LUZ, PINK RUN FESTIVAL
(FRESATA).</t>
    </r>
  </si>
  <si>
    <r>
      <rPr>
        <b/>
        <u/>
        <sz val="11"/>
        <color theme="1"/>
        <rFont val="Arial"/>
        <family val="2"/>
      </rPr>
      <t>DE ENERO A  SEPTIEMBRE DE 2025 :</t>
    </r>
    <r>
      <rPr>
        <b/>
        <sz val="11"/>
        <color theme="1"/>
        <rFont val="Arial"/>
        <family val="2"/>
      </rPr>
      <t xml:space="preserve"> </t>
    </r>
    <r>
      <rPr>
        <sz val="11"/>
        <color theme="1"/>
        <rFont val="Arial"/>
        <family val="2"/>
      </rPr>
      <t>Se desarrollaron y/o apoyaron De los quince (15)eventos recreativos y de hábitos se beneficiaron a 29.969 personas aproximadamente. Los cuales se describen a continuación :La Candelaria, Media Maraton del Mar Kids, UTB GO,CARRERA POR LOS
HEROESDIA DE LAS MADRES,  CUMPLEAÑOS DE CARTAGENA ,MARATON REGIONES 
COLOMBIA, JOVEN RUN, GRAN RETICO, RUN MOVISTAR,TECNOLOGICO COMFENALCO
(THE FAMILY RUN), CARRERA 11K SAN 
VALENTIN, CARRERA ATLETICA 5K, HEROES DE LUZ, PINK RUN FESTIVAL
(FRESATA).</t>
    </r>
  </si>
  <si>
    <r>
      <rPr>
        <b/>
        <u/>
        <sz val="11"/>
        <color theme="1"/>
        <rFont val="Arial"/>
        <family val="2"/>
      </rPr>
      <t xml:space="preserve">DE ENERO A SEPTIEMBRE DE 2025 : </t>
    </r>
    <r>
      <rPr>
        <sz val="11"/>
        <color theme="1"/>
        <rFont val="Arial"/>
        <family val="2"/>
      </rPr>
      <t xml:space="preserve">Se impulsaron y apoyaron a veintitrés  (23) eventos deportivos, los cuales fueron: EAL CARTAGENA,Media Maratón del Mar ,
VS
BOGOTA,Clásica de la Candelaria,REAL CARTAGENA, VS BOCA JUNIORS DE CALI, Torneo Fedecoltenis Nacional, REAL CARTAGENA, VS
REAL SANTANDER, Torneo Acismabol, Open Latino, Sub-17 , Campamento Salvamento, ACISMABOL, TRAVESIA TIERRA BOMBA,REAL CARTAGENA, VS PATRIOTAS, CAMPEONATO NACIONAL, REAL CARTAGENA VS JAGUARES , HOLYWEEK, CORRE Y ANUNCIA TU FE, REAL CARTAGENA VS ATLETICO HUILA, TORNEO INTERNACIONAL,  SUPER TITANES, REAL CARTAGENA, VS BARRANQUILLA, I CLASICA INTEGRADA DEL CARIBE, .Estos eventos beneficaron a 60.534 personas. </t>
    </r>
  </si>
  <si>
    <r>
      <rPr>
        <b/>
        <u/>
        <sz val="11"/>
        <color theme="1"/>
        <rFont val="Arial"/>
        <family val="2"/>
      </rPr>
      <t>A corte  de septiembre se reporta:</t>
    </r>
    <r>
      <rPr>
        <sz val="11"/>
        <color theme="1"/>
        <rFont val="Arial"/>
        <family val="2"/>
      </rPr>
      <t xml:space="preserve">
•	5 septiembre, se asistió a la mesa de trabajo en la casa AIKU en la temática correspondiente al archipiélago de San Bernardo.
•	Se realizo mesa de trabajo en donde se llevó a cabo la planeación de Juegos Afro Mar y Playa los cuales se tiene proyectados el desarrollo de los mismos en el mes de octubre 2025. </t>
    </r>
    <r>
      <rPr>
        <b/>
        <u/>
        <sz val="11"/>
        <color theme="1"/>
        <rFont val="Arial"/>
        <family val="2"/>
      </rPr>
      <t xml:space="preserve">A corte de 31 de agosto se reporta:
</t>
    </r>
    <r>
      <rPr>
        <sz val="11"/>
        <color theme="1"/>
        <rFont val="Arial"/>
        <family val="2"/>
      </rPr>
      <t>•	Los Juegos Afro se dieron por finalizado en el pasado mes de julio cumpliendo a cabalidad con el objetivo pactado,  En el mes de agosto se llevó a cabo reunión con coordinador y jefe de área en donde se realizó análisis DOFA de los Juegos Afro con miras a mejorar juegos de la inclusión 2026</t>
    </r>
    <r>
      <rPr>
        <b/>
        <u/>
        <sz val="11"/>
        <color theme="1"/>
        <rFont val="Arial"/>
        <family val="2"/>
      </rPr>
      <t xml:space="preserve">. A corte de 31 de julio se reporta:
</t>
    </r>
    <r>
      <rPr>
        <sz val="11"/>
        <color theme="1"/>
        <rFont val="Arial"/>
        <family val="2"/>
      </rPr>
      <t>1.	03 y 16 de julio, se realizó reunión con el equipo de trabajo seguimiento de las programaciones ejecutadas en las diferentes disciplinas.
2.	Para este periodo se desarrollan las programaciones de los Juegos De La Inclusión en los cuales los Juegos Afro hacen parte de estos como estrategia fundamental para las comunidades NARP. Y se cuenta con 814 inscritos. 
3.	Los Juegos Afro se dieron por finalizado el día 20 de julio. En la cual se describen los ganadores de cada disciplina deportiva y su categoría</t>
    </r>
    <r>
      <rPr>
        <b/>
        <u/>
        <sz val="11"/>
        <color theme="1"/>
        <rFont val="Arial"/>
        <family val="2"/>
      </rPr>
      <t>. A corte de 30 de junio se reporta:
•</t>
    </r>
    <r>
      <rPr>
        <sz val="11"/>
        <color theme="1"/>
        <rFont val="Arial"/>
        <family val="2"/>
      </rPr>
      <t xml:space="preserve">	17 de junio, se realizó reunión con el equipo de trabajo seguimiento de las programaciones ejecutadas en las diferentes disciplinas.
•	Para este periodo se desarrllan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10 de junio se reporta:
</t>
    </r>
    <r>
      <rPr>
        <sz val="11"/>
        <color theme="1"/>
        <rFont val="Arial"/>
        <family val="2"/>
      </rPr>
      <t>•	Se desarrollan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30 de mayo se reporta:</t>
    </r>
    <r>
      <rPr>
        <sz val="11"/>
        <color theme="1"/>
        <rFont val="Arial"/>
        <family val="2"/>
      </rPr>
      <t xml:space="preserve">
•	5 mayo, Reunión en casa Afro AIKU, con la oficina de asuntos étnicos y consejos comunitarios para la socialización del desarrollo, inicio e inauguración de los Juegos Afro.
•	A partir del 5 de mayo se iniciaron las inscripciones y atención a las Organizaciones Afro y a los Consejos Comunitarios que se encuentran participado en los Juegos Afro 2025, se han inscrito hasta la fecha 528 personas, se está a la espera del listado final de los participantes, concertado con los Consejos Comunitarios.A corte de 30 de junio se reporta:
•	17 de junio, se realizó reunión con el equipo de trabajo seguimiento de las programaciones ejecutadas en las diferentes disciplinas.
•	Para este periodo se desarrollan las programaciones de los Juegos De La Inclusión en los cuales los Juegos Afro hacen parte de estos como estrategia fundamental para las comunidades NARP. Y se cuenta con 814 inscritos. 
•	16 mayo, se realizó la primera entrega de uniformes e implementación deportiva a los representantes de los equipos participantes en los Juegos Afro 2025.
•	18 mayo, se realizó la inauguración de los Juegos De La Inclusión en los cuales los Juegos Afro hacen parte de estos como estrategia fundamental para las comunidades NARP. 
•	19 mayo, se participó en el conversatorio Historia, Memoria y Construcción De Las Identidades De Las Comunidades NARP
•	24 mayo, se inició el desarrollo de los Juegos Afro 2025.</t>
    </r>
  </si>
  <si>
    <r>
      <rPr>
        <b/>
        <u/>
        <sz val="11"/>
        <color theme="1"/>
        <rFont val="Arial"/>
        <family val="2"/>
      </rPr>
      <t>A</t>
    </r>
    <r>
      <rPr>
        <b/>
        <u/>
        <sz val="11"/>
        <rFont val="Arial"/>
        <family val="2"/>
      </rPr>
      <t xml:space="preserve"> corte 30 de septiembre de 2025:</t>
    </r>
    <r>
      <rPr>
        <sz val="11"/>
        <rFont val="Arial"/>
        <family val="2"/>
      </rPr>
      <t xml:space="preserve"> Para la vigencia del 2025 se crearon cuatro (4) nuevos núcleos , los cuales son:  Olaya -sector Estella , Bicentenario, Olaya I.E.San Felipe Neri  y Tierra Baja en la Cancha Múltiple. , </t>
    </r>
    <r>
      <rPr>
        <b/>
        <u/>
        <sz val="11"/>
        <color theme="1"/>
        <rFont val="Arial"/>
        <family val="2"/>
      </rPr>
      <t xml:space="preserve">A corte 15  de septiembre se reporta: 
</t>
    </r>
    <r>
      <rPr>
        <sz val="11"/>
        <color theme="1"/>
        <rFont val="Arial"/>
        <family val="2"/>
      </rPr>
      <t>A corte este periodo se encuentran 59 núcleos de Iniciación y Formación Deportiva, en las tres localidades del Distrito de Cartagena. 
•	Para este periodo se encuentran inscritos en los núcleos de los niveles de Iniciación Y Formación un total de 4.630 NNA beneficiarios de las 3 localidades (Loc1= 1298- Loc2=2040 – Loc3 = 1292) al corte del mes.</t>
    </r>
    <r>
      <rPr>
        <b/>
        <u/>
        <sz val="11"/>
        <color theme="1"/>
        <rFont val="Arial"/>
        <family val="2"/>
      </rPr>
      <t xml:space="preserve"> A corte 31 de agosto se reporta: 
</t>
    </r>
    <r>
      <rPr>
        <sz val="11"/>
        <color theme="1"/>
        <rFont val="Arial"/>
        <family val="2"/>
      </rPr>
      <t>A corte este periodo se encuentran activos 59 núcleos de Iniciación y Formación Deportiva, en las tres localidades del Distrito de Cartagena. 
•	Para este periodo se cerró el link para el proceso de inscripción en los núcleos en procesos de los niveles de Iniciación Y Formación, para un total de 4.630 NNA beneficiarios de las 3 localidades (Loc1= 1298- Loc2=2040 – Loc3 =</t>
    </r>
    <r>
      <rPr>
        <b/>
        <u/>
        <sz val="11"/>
        <color theme="1"/>
        <rFont val="Arial"/>
        <family val="2"/>
      </rPr>
      <t xml:space="preserve"> </t>
    </r>
    <r>
      <rPr>
        <sz val="11"/>
        <color theme="1"/>
        <rFont val="Arial"/>
        <family val="2"/>
      </rPr>
      <t xml:space="preserve">1292) al corte del mes. </t>
    </r>
    <r>
      <rPr>
        <b/>
        <u/>
        <sz val="11"/>
        <color theme="1"/>
        <rFont val="Arial"/>
        <family val="2"/>
      </rPr>
      <t>.</t>
    </r>
  </si>
  <si>
    <r>
      <rPr>
        <b/>
        <u/>
        <sz val="11"/>
        <color theme="1"/>
        <rFont val="Arial"/>
        <family val="2"/>
      </rPr>
      <t xml:space="preserve">A corte 30 de septiembre de 2025: </t>
    </r>
    <r>
      <rPr>
        <b/>
        <sz val="11"/>
        <color theme="1"/>
        <rFont val="Arial"/>
        <family val="2"/>
      </rPr>
      <t xml:space="preserve">  </t>
    </r>
    <r>
      <rPr>
        <sz val="11"/>
        <rFont val="Arial"/>
        <family val="2"/>
      </rPr>
      <t xml:space="preserve">Se crearon cuatro (4) núcleos de educación física extraescolar en las siguinetes instituciones educativas: San Felipe Neri, Punta Canoa, Tierra Baja y Orika (Isla Grande),los cuales estan benefiando a beneficiando a un total de 441 niños, niñas y adlescentes entre un rango de edad de 7 a 12 años, en una frecuencia de tres veces a la semana   </t>
    </r>
    <r>
      <rPr>
        <b/>
        <sz val="11"/>
        <color theme="1"/>
        <rFont val="Arial"/>
        <family val="2"/>
      </rPr>
      <t xml:space="preserve"> </t>
    </r>
    <r>
      <rPr>
        <b/>
        <u/>
        <sz val="11"/>
        <color theme="1"/>
        <rFont val="Arial"/>
        <family val="2"/>
      </rPr>
      <t xml:space="preserve"> A corte 15 de septiembre se reporta:
•</t>
    </r>
    <r>
      <rPr>
        <sz val="11"/>
        <color theme="1"/>
        <rFont val="Arial"/>
        <family val="2"/>
      </rPr>
      <t xml:space="preserve">	Se está a la espera del proceso de adquisición del material pedagógico y la contratación del personal que estará a cargo de las instrucciones  </t>
    </r>
    <r>
      <rPr>
        <b/>
        <u/>
        <sz val="11"/>
        <color theme="1"/>
        <rFont val="Arial"/>
        <family val="2"/>
      </rPr>
      <t xml:space="preserve"> .A corte 31 de agosto se reporta:
</t>
    </r>
    <r>
      <rPr>
        <sz val="11"/>
        <color theme="1"/>
        <rFont val="Arial"/>
        <family val="2"/>
      </rPr>
      <t xml:space="preserve">•	Para este periodo se culminó el proceso de selección del operador logístico del programa de Deporte Estudiantil. En ese sentido se continuará con el Plan de Acción diseñado para tal efecto. Los núcleos de Educación Física Extraescolar serían en la Institución Educativa San Felipe Nei y el otro funcionaria en el INEM.
</t>
    </r>
    <r>
      <rPr>
        <b/>
        <u/>
        <sz val="11"/>
        <color theme="1"/>
        <rFont val="Arial"/>
        <family val="2"/>
      </rPr>
      <t xml:space="preserve">A corte de 31 de julio: </t>
    </r>
    <r>
      <rPr>
        <sz val="11"/>
        <color theme="1"/>
        <rFont val="Arial"/>
        <family val="2"/>
      </rPr>
      <t xml:space="preserve">
•	Se está a la espera que se surta la convocatoria pública para la escogencia del operador logístico del programa. Se estableció el cronograma de trabajo con las intituciones educativas donde se desarrollaran los dos (2) núcleos de Educación Física Extraescolar.en el Distrito de Cartagena de Indias, los cuales se esperan que entren en funcionamiento en el segundo semestre del 2025.</t>
    </r>
  </si>
  <si>
    <t>AVANCE ESTRATEGICO DEL IDER ENERO A SEPTIEMBRE 30 DE 2025</t>
  </si>
  <si>
    <t>AVANCE ESTRATEGICO DE LA DEPENDENCIA SEPTIEMBRE DE 2025</t>
  </si>
  <si>
    <t>PRESUPUESTO DEFINITIVO  A SEPTIEMBRE 30 DE 2025</t>
  </si>
  <si>
    <t>PRESUPUESTO EJECUTADO DE ENERO- 30 SEPTIEMBRE DE  2025</t>
  </si>
  <si>
    <t xml:space="preserve">% EJECUCION DE ENERO- 30 SEPTIEMBRE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</si>
</sst>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 #,##0_-;\-* #,##0_-;_-* &quot;-&quot;??_-;_-@_-"/>
    <numFmt numFmtId="165" formatCode="_(&quot;$&quot;\ * #,##0.00_);_(&quot;$&quot;\ * \(#,##0.00\);_(&quot;$&quot;\ * &quot;-&quot;??_);_(@_)"/>
    <numFmt numFmtId="166" formatCode="0.0%"/>
    <numFmt numFmtId="167" formatCode="0.000%"/>
  </numFmts>
  <fonts count="4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b/>
      <sz val="11"/>
      <color theme="1" tint="4.9989318521683403E-2"/>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u/>
      <sz val="11"/>
      <color theme="1"/>
      <name val="Aptos Narrow"/>
      <family val="2"/>
      <scheme val="minor"/>
    </font>
    <font>
      <sz val="12"/>
      <color rgb="FF000000"/>
      <name val="Arial"/>
      <family val="2"/>
    </font>
    <font>
      <b/>
      <sz val="11"/>
      <name val="Arial "/>
    </font>
    <font>
      <b/>
      <sz val="14"/>
      <color theme="1"/>
      <name val="Arial"/>
      <family val="2"/>
    </font>
    <font>
      <b/>
      <sz val="14"/>
      <color rgb="FFFF0000"/>
      <name val="Arial"/>
      <family val="2"/>
    </font>
    <font>
      <b/>
      <sz val="18"/>
      <color rgb="FFFF0000"/>
      <name val="Arial"/>
      <family val="2"/>
    </font>
    <font>
      <b/>
      <sz val="16"/>
      <color rgb="FFFF0000"/>
      <name val="Arial"/>
      <family val="2"/>
    </font>
    <font>
      <b/>
      <u/>
      <sz val="11"/>
      <color theme="1"/>
      <name val="Arial"/>
      <family val="2"/>
    </font>
    <font>
      <b/>
      <sz val="20"/>
      <color rgb="FFFF0000"/>
      <name val="Arial"/>
      <family val="2"/>
    </font>
    <font>
      <b/>
      <sz val="11"/>
      <color rgb="FFFF0000"/>
      <name val="Arial"/>
      <family val="2"/>
    </font>
    <font>
      <b/>
      <sz val="11"/>
      <color rgb="FFFF0000"/>
      <name val="Aptos Narrow"/>
      <family val="2"/>
      <scheme val="minor"/>
    </font>
    <font>
      <b/>
      <sz val="14"/>
      <color rgb="FFFF0000"/>
      <name val="Aptos Narrow"/>
      <family val="2"/>
      <scheme val="minor"/>
    </font>
    <font>
      <u/>
      <sz val="11"/>
      <color theme="1"/>
      <name val="Arial"/>
      <family val="2"/>
    </font>
    <font>
      <sz val="11"/>
      <name val="Arial"/>
      <family val="2"/>
    </font>
    <font>
      <b/>
      <u/>
      <sz val="11"/>
      <name val="Arial"/>
      <family val="2"/>
    </font>
    <font>
      <b/>
      <u/>
      <sz val="14"/>
      <color rgb="FFFF0000"/>
      <name val="Arial"/>
      <family val="2"/>
    </font>
  </fonts>
  <fills count="2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rgb="FF00B0F0"/>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44" fontId="1" fillId="0" borderId="0" applyFont="0" applyFill="0" applyBorder="0" applyAlignment="0" applyProtection="0"/>
    <xf numFmtId="9" fontId="1" fillId="0" borderId="0" applyFont="0" applyFill="0" applyBorder="0" applyAlignment="0" applyProtection="0"/>
  </cellStyleXfs>
  <cellXfs count="667">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xf>
    <xf numFmtId="0" fontId="0" fillId="0" borderId="0" xfId="0" applyAlignment="1">
      <alignment vertical="center"/>
    </xf>
    <xf numFmtId="0" fontId="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0" xfId="0" applyFill="1" applyAlignment="1">
      <alignment horizontal="center"/>
    </xf>
    <xf numFmtId="0" fontId="20" fillId="5" borderId="9" xfId="1" applyFont="1" applyFill="1" applyBorder="1" applyAlignment="1">
      <alignment horizontal="center" vertical="center"/>
    </xf>
    <xf numFmtId="0" fontId="20" fillId="5" borderId="1" xfId="1" applyFont="1" applyFill="1" applyBorder="1" applyAlignment="1">
      <alignment horizontal="center" vertical="center"/>
    </xf>
    <xf numFmtId="0" fontId="20" fillId="5" borderId="10" xfId="1" applyFont="1" applyFill="1" applyBorder="1" applyAlignment="1">
      <alignment horizontal="center" vertical="center"/>
    </xf>
    <xf numFmtId="14" fontId="21" fillId="0" borderId="1" xfId="0"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Border="1" applyAlignment="1">
      <alignment horizontal="center" vertical="center"/>
    </xf>
    <xf numFmtId="0" fontId="22" fillId="0" borderId="1" xfId="1" applyFont="1" applyBorder="1" applyAlignment="1">
      <alignment horizontal="center" wrapText="1"/>
    </xf>
    <xf numFmtId="0" fontId="22" fillId="0" borderId="1" xfId="1" applyFont="1" applyBorder="1"/>
    <xf numFmtId="0" fontId="20" fillId="5" borderId="1" xfId="1" applyFont="1" applyFill="1" applyBorder="1" applyAlignment="1">
      <alignment vertical="center"/>
    </xf>
    <xf numFmtId="0" fontId="0" fillId="2" borderId="0" xfId="0" applyFill="1" applyAlignment="1">
      <alignment vertical="center"/>
    </xf>
    <xf numFmtId="0" fontId="7" fillId="2" borderId="1" xfId="0" applyFont="1" applyFill="1" applyBorder="1"/>
    <xf numFmtId="0" fontId="7"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9"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6"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6"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6" fillId="11" borderId="1"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25"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3"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4" fillId="7" borderId="1" xfId="0" applyFont="1" applyFill="1" applyBorder="1" applyAlignment="1">
      <alignment horizontal="center" vertical="center" wrapText="1"/>
    </xf>
    <xf numFmtId="0" fontId="24" fillId="12" borderId="1" xfId="0" applyFont="1" applyFill="1" applyBorder="1" applyAlignment="1">
      <alignment horizontal="center" vertical="center" wrapText="1"/>
    </xf>
    <xf numFmtId="164" fontId="27" fillId="7" borderId="1" xfId="7" applyNumberFormat="1" applyFont="1" applyFill="1" applyBorder="1" applyAlignment="1">
      <alignment horizontal="center" vertical="center"/>
    </xf>
    <xf numFmtId="43" fontId="28" fillId="3" borderId="1" xfId="7" applyFont="1" applyFill="1" applyBorder="1" applyAlignment="1">
      <alignment horizontal="center" vertical="center"/>
    </xf>
    <xf numFmtId="43" fontId="28" fillId="10" borderId="1" xfId="7" applyFont="1" applyFill="1" applyBorder="1" applyAlignment="1">
      <alignment horizontal="center" vertical="center"/>
    </xf>
    <xf numFmtId="0" fontId="25" fillId="14" borderId="1" xfId="0" applyFont="1" applyFill="1" applyBorder="1" applyAlignment="1">
      <alignment horizontal="center" vertical="center" wrapText="1"/>
    </xf>
    <xf numFmtId="0" fontId="0" fillId="3" borderId="0" xfId="0" applyFill="1" applyAlignment="1">
      <alignment horizontal="center" vertical="center"/>
    </xf>
    <xf numFmtId="0" fontId="16" fillId="7"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7" borderId="1" xfId="0" applyFont="1" applyFill="1" applyBorder="1" applyAlignment="1">
      <alignment horizontal="center" vertical="center" wrapText="1"/>
    </xf>
    <xf numFmtId="10" fontId="16" fillId="7" borderId="1" xfId="0" applyNumberFormat="1" applyFont="1" applyFill="1" applyBorder="1" applyAlignment="1">
      <alignment horizontal="center" vertical="center" wrapText="1"/>
    </xf>
    <xf numFmtId="0" fontId="21"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6" fillId="0" borderId="0" xfId="0" applyFont="1"/>
    <xf numFmtId="0" fontId="16"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5"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5" fillId="18" borderId="1" xfId="0" applyFont="1" applyFill="1" applyBorder="1" applyAlignment="1">
      <alignment horizontal="center" vertical="center" wrapText="1"/>
    </xf>
    <xf numFmtId="0" fontId="25"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5" fillId="17" borderId="1" xfId="0" applyFont="1" applyFill="1" applyBorder="1" applyAlignment="1">
      <alignment horizontal="center" vertical="center" wrapText="1"/>
    </xf>
    <xf numFmtId="43" fontId="25" fillId="17" borderId="1" xfId="7" applyFont="1" applyFill="1" applyBorder="1" applyAlignment="1">
      <alignment horizontal="center" vertical="center" wrapText="1"/>
    </xf>
    <xf numFmtId="0" fontId="25"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5"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4"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6" fillId="0" borderId="1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8"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6" fillId="13" borderId="1" xfId="0" applyFont="1" applyFill="1" applyBorder="1" applyAlignment="1">
      <alignment horizontal="center" vertical="center" wrapText="1"/>
    </xf>
    <xf numFmtId="0" fontId="16" fillId="16" borderId="1" xfId="0" applyFont="1" applyFill="1" applyBorder="1" applyAlignment="1">
      <alignment horizontal="center" vertical="center" wrapText="1"/>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vertical="center"/>
    </xf>
    <xf numFmtId="0" fontId="0" fillId="16" borderId="0" xfId="0" applyFill="1" applyAlignment="1">
      <alignment horizontal="center" vertical="center"/>
    </xf>
    <xf numFmtId="0" fontId="0" fillId="17" borderId="0" xfId="0" applyFill="1" applyAlignment="1">
      <alignment horizontal="center" vertical="center"/>
    </xf>
    <xf numFmtId="0" fontId="16"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29"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1" fillId="2" borderId="1" xfId="0" applyFont="1" applyFill="1" applyBorder="1" applyAlignment="1">
      <alignment horizontal="center" vertical="center" wrapText="1"/>
    </xf>
    <xf numFmtId="1" fontId="7" fillId="10" borderId="1" xfId="0" applyNumberFormat="1" applyFont="1" applyFill="1" applyBorder="1" applyAlignment="1">
      <alignment vertical="center"/>
    </xf>
    <xf numFmtId="0" fontId="24"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6"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6" fillId="12" borderId="1" xfId="0" applyFont="1" applyFill="1" applyBorder="1" applyAlignment="1">
      <alignment horizontal="center" vertical="center"/>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6" fillId="15"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16" fillId="2" borderId="18" xfId="0" applyFont="1" applyFill="1" applyBorder="1" applyAlignment="1">
      <alignment horizontal="center" vertical="center"/>
    </xf>
    <xf numFmtId="0" fontId="16" fillId="2" borderId="0" xfId="0" applyFont="1" applyFill="1"/>
    <xf numFmtId="0" fontId="16" fillId="2" borderId="1" xfId="0" applyFont="1" applyFill="1" applyBorder="1" applyAlignment="1">
      <alignment horizontal="justify" vertical="center" wrapText="1"/>
    </xf>
    <xf numFmtId="0" fontId="30" fillId="0" borderId="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wrapText="1"/>
    </xf>
    <xf numFmtId="0" fontId="7" fillId="2" borderId="18"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0" fontId="5" fillId="7" borderId="1" xfId="0" applyFont="1" applyFill="1" applyBorder="1" applyAlignment="1">
      <alignment horizontal="center" vertical="center" wrapText="1"/>
    </xf>
    <xf numFmtId="10" fontId="16" fillId="7" borderId="1" xfId="0" applyNumberFormat="1" applyFont="1" applyFill="1" applyBorder="1" applyAlignment="1">
      <alignment horizontal="center" vertical="center"/>
    </xf>
    <xf numFmtId="0" fontId="24" fillId="21" borderId="1" xfId="0" applyFont="1" applyFill="1" applyBorder="1" applyAlignment="1">
      <alignment horizontal="center" vertical="center"/>
    </xf>
    <xf numFmtId="43" fontId="0" fillId="0" borderId="0" xfId="0" applyNumberFormat="1" applyAlignment="1">
      <alignment horizontal="center" vertical="center"/>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2" borderId="1" xfId="0" applyFont="1" applyFill="1" applyBorder="1" applyAlignment="1">
      <alignment horizontal="center" vertical="center" wrapText="1"/>
    </xf>
    <xf numFmtId="0" fontId="7" fillId="0" borderId="18" xfId="0" applyFont="1" applyBorder="1" applyAlignment="1">
      <alignment horizontal="center" vertical="center" wrapText="1"/>
    </xf>
    <xf numFmtId="1" fontId="7" fillId="2" borderId="18" xfId="0" applyNumberFormat="1" applyFont="1" applyFill="1" applyBorder="1" applyAlignment="1">
      <alignment horizontal="center" vertical="center"/>
    </xf>
    <xf numFmtId="3" fontId="7" fillId="2" borderId="18" xfId="0" applyNumberFormat="1"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22" borderId="18" xfId="0" applyFont="1" applyFill="1" applyBorder="1" applyAlignment="1">
      <alignment horizontal="center" vertical="center" wrapText="1"/>
    </xf>
    <xf numFmtId="0" fontId="28" fillId="0" borderId="1" xfId="0" applyFont="1" applyBorder="1" applyAlignment="1">
      <alignment horizontal="center" vertical="center" wrapText="1"/>
    </xf>
    <xf numFmtId="44" fontId="28" fillId="0" borderId="20" xfId="12" applyFont="1" applyBorder="1" applyAlignment="1">
      <alignment horizontal="right" vertical="center" wrapText="1"/>
    </xf>
    <xf numFmtId="10" fontId="28" fillId="0" borderId="20" xfId="13" applyNumberFormat="1" applyFont="1" applyBorder="1" applyAlignment="1">
      <alignment horizontal="right" vertical="center" wrapText="1"/>
    </xf>
    <xf numFmtId="44" fontId="28" fillId="0" borderId="1" xfId="12" applyFont="1" applyBorder="1" applyAlignment="1">
      <alignment horizontal="right" vertical="center" wrapText="1"/>
    </xf>
    <xf numFmtId="10" fontId="28" fillId="0" borderId="1" xfId="13" applyNumberFormat="1" applyFont="1" applyBorder="1" applyAlignment="1">
      <alignment horizontal="right" vertical="center" wrapText="1"/>
    </xf>
    <xf numFmtId="0" fontId="28" fillId="2" borderId="0" xfId="0" applyFont="1" applyFill="1" applyAlignment="1">
      <alignment horizontal="right" vertical="center"/>
    </xf>
    <xf numFmtId="44" fontId="33" fillId="7" borderId="0" xfId="0" applyNumberFormat="1" applyFont="1" applyFill="1" applyAlignment="1">
      <alignment horizontal="right" vertical="center"/>
    </xf>
    <xf numFmtId="10" fontId="33" fillId="7" borderId="0" xfId="13" applyNumberFormat="1" applyFont="1" applyFill="1" applyAlignment="1">
      <alignment horizontal="right" vertical="center"/>
    </xf>
    <xf numFmtId="44" fontId="28" fillId="0" borderId="1" xfId="12" applyFont="1" applyBorder="1" applyAlignment="1">
      <alignment vertical="center" wrapText="1"/>
    </xf>
    <xf numFmtId="10" fontId="28" fillId="0" borderId="1" xfId="13" applyNumberFormat="1" applyFont="1" applyBorder="1" applyAlignment="1">
      <alignment vertical="center" wrapText="1"/>
    </xf>
    <xf numFmtId="0" fontId="33" fillId="2" borderId="2"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28" fillId="2" borderId="0" xfId="0" applyFont="1" applyFill="1"/>
    <xf numFmtId="0" fontId="28" fillId="2" borderId="0" xfId="0" applyFont="1" applyFill="1" applyAlignment="1">
      <alignment vertical="center"/>
    </xf>
    <xf numFmtId="0" fontId="28" fillId="2" borderId="0" xfId="0" applyFont="1" applyFill="1" applyAlignment="1">
      <alignment horizontal="center" vertical="center"/>
    </xf>
    <xf numFmtId="0" fontId="33" fillId="2" borderId="1" xfId="0" applyFont="1" applyFill="1" applyBorder="1" applyAlignment="1">
      <alignment vertical="center" wrapText="1"/>
    </xf>
    <xf numFmtId="0" fontId="33" fillId="2" borderId="1" xfId="0" applyFont="1" applyFill="1" applyBorder="1" applyAlignment="1">
      <alignment horizontal="center" vertical="center" wrapText="1"/>
    </xf>
    <xf numFmtId="9" fontId="33" fillId="2" borderId="0" xfId="13" applyFont="1" applyFill="1" applyBorder="1" applyAlignment="1">
      <alignment horizontal="center" vertical="center"/>
    </xf>
    <xf numFmtId="0" fontId="28" fillId="2" borderId="1" xfId="0" applyFont="1" applyFill="1" applyBorder="1"/>
    <xf numFmtId="0" fontId="28" fillId="2" borderId="1" xfId="0" applyFont="1" applyFill="1" applyBorder="1" applyAlignment="1">
      <alignment horizontal="right" vertical="center"/>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28" fillId="2" borderId="1" xfId="0" applyFont="1" applyFill="1" applyBorder="1" applyAlignment="1">
      <alignment vertical="center"/>
    </xf>
    <xf numFmtId="0" fontId="33" fillId="2" borderId="2" xfId="0" applyFont="1" applyFill="1" applyBorder="1" applyAlignment="1">
      <alignment vertical="center" wrapText="1"/>
    </xf>
    <xf numFmtId="0" fontId="33" fillId="2" borderId="16" xfId="0" applyFont="1" applyFill="1" applyBorder="1" applyAlignment="1">
      <alignment vertical="center" wrapText="1"/>
    </xf>
    <xf numFmtId="0" fontId="33" fillId="2" borderId="0" xfId="0" applyFont="1" applyFill="1" applyAlignment="1">
      <alignment vertical="center" wrapText="1"/>
    </xf>
    <xf numFmtId="49" fontId="7" fillId="2" borderId="18" xfId="0" applyNumberFormat="1" applyFont="1" applyFill="1" applyBorder="1" applyAlignment="1">
      <alignment horizontal="center" vertical="center"/>
    </xf>
    <xf numFmtId="0" fontId="7" fillId="2" borderId="16"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33" fillId="7" borderId="1" xfId="0" applyFont="1" applyFill="1" applyBorder="1" applyAlignment="1">
      <alignment vertical="center" wrapText="1"/>
    </xf>
    <xf numFmtId="0" fontId="28" fillId="7" borderId="1"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28" fillId="7" borderId="1" xfId="0" applyFont="1" applyFill="1" applyBorder="1"/>
    <xf numFmtId="9" fontId="28" fillId="0" borderId="1" xfId="13" applyFont="1" applyBorder="1" applyAlignment="1">
      <alignment horizontal="center" vertical="center" wrapText="1"/>
    </xf>
    <xf numFmtId="10" fontId="32" fillId="2" borderId="1" xfId="13" applyNumberFormat="1" applyFont="1" applyFill="1" applyBorder="1" applyAlignment="1">
      <alignment horizontal="center" vertical="center" wrapText="1"/>
    </xf>
    <xf numFmtId="9" fontId="28" fillId="2" borderId="1" xfId="13" applyFont="1" applyFill="1" applyBorder="1" applyAlignment="1">
      <alignment horizontal="center" vertical="center" wrapText="1"/>
    </xf>
    <xf numFmtId="9" fontId="7" fillId="7" borderId="1" xfId="0" applyNumberFormat="1" applyFont="1" applyFill="1" applyBorder="1" applyAlignment="1">
      <alignment horizontal="center" vertical="center" wrapText="1"/>
    </xf>
    <xf numFmtId="9" fontId="7" fillId="7" borderId="18" xfId="0" applyNumberFormat="1" applyFont="1" applyFill="1" applyBorder="1" applyAlignment="1">
      <alignment horizontal="center" vertical="center" wrapText="1"/>
    </xf>
    <xf numFmtId="10" fontId="33" fillId="2" borderId="1" xfId="13" applyNumberFormat="1" applyFont="1" applyFill="1" applyBorder="1" applyAlignment="1">
      <alignment horizontal="center" vertical="center" wrapText="1"/>
    </xf>
    <xf numFmtId="9" fontId="33" fillId="2" borderId="1" xfId="13" applyFont="1" applyFill="1" applyBorder="1" applyAlignment="1">
      <alignment horizontal="center" vertical="center" wrapText="1"/>
    </xf>
    <xf numFmtId="9" fontId="33" fillId="2" borderId="1" xfId="0" applyNumberFormat="1" applyFont="1" applyFill="1" applyBorder="1" applyAlignment="1">
      <alignment horizontal="center" vertical="center"/>
    </xf>
    <xf numFmtId="9" fontId="35" fillId="7" borderId="1" xfId="13" applyFont="1" applyFill="1" applyBorder="1" applyAlignment="1">
      <alignment horizontal="center" vertical="center" wrapText="1"/>
    </xf>
    <xf numFmtId="0" fontId="7" fillId="3" borderId="18" xfId="0" applyFont="1" applyFill="1" applyBorder="1" applyAlignment="1">
      <alignment horizontal="center" vertical="center" wrapText="1"/>
    </xf>
    <xf numFmtId="9" fontId="35" fillId="7" borderId="1" xfId="0" applyNumberFormat="1" applyFont="1" applyFill="1" applyBorder="1" applyAlignment="1">
      <alignment horizontal="center" vertical="center"/>
    </xf>
    <xf numFmtId="44" fontId="28" fillId="0" borderId="20" xfId="12" applyFont="1" applyBorder="1" applyAlignment="1">
      <alignment vertical="center" wrapText="1"/>
    </xf>
    <xf numFmtId="10" fontId="28" fillId="0" borderId="20" xfId="13" applyNumberFormat="1" applyFont="1" applyBorder="1" applyAlignment="1">
      <alignment vertical="center" wrapText="1"/>
    </xf>
    <xf numFmtId="10" fontId="35" fillId="2" borderId="1" xfId="13" applyNumberFormat="1" applyFont="1" applyFill="1" applyBorder="1" applyAlignment="1">
      <alignment horizontal="center" vertical="center"/>
    </xf>
    <xf numFmtId="9" fontId="35" fillId="7" borderId="20" xfId="13" applyFont="1" applyFill="1" applyBorder="1" applyAlignment="1">
      <alignment horizontal="center" vertical="center"/>
    </xf>
    <xf numFmtId="0" fontId="19" fillId="2" borderId="0" xfId="1" applyFont="1" applyFill="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xf>
    <xf numFmtId="10" fontId="28" fillId="3" borderId="1" xfId="13" applyNumberFormat="1" applyFont="1" applyFill="1" applyBorder="1" applyAlignment="1">
      <alignment horizontal="center" vertical="center" wrapText="1"/>
    </xf>
    <xf numFmtId="10" fontId="35" fillId="7" borderId="1" xfId="13" applyNumberFormat="1" applyFont="1" applyFill="1" applyBorder="1" applyAlignment="1">
      <alignment horizontal="center" vertical="center" wrapText="1"/>
    </xf>
    <xf numFmtId="0" fontId="0" fillId="3" borderId="19" xfId="0" applyFill="1" applyBorder="1" applyAlignment="1">
      <alignment horizontal="center" vertical="center" wrapText="1"/>
    </xf>
    <xf numFmtId="43" fontId="7" fillId="10" borderId="19" xfId="7" applyFont="1" applyFill="1" applyBorder="1" applyAlignment="1">
      <alignment horizontal="center" vertical="center"/>
    </xf>
    <xf numFmtId="0" fontId="0" fillId="10" borderId="19" xfId="0" applyFill="1" applyBorder="1" applyAlignment="1">
      <alignment horizontal="center" vertical="center" wrapText="1"/>
    </xf>
    <xf numFmtId="164" fontId="24" fillId="7" borderId="19" xfId="7" applyNumberFormat="1" applyFont="1" applyFill="1" applyBorder="1" applyAlignment="1">
      <alignment horizontal="center" vertical="center"/>
    </xf>
    <xf numFmtId="43" fontId="7" fillId="3" borderId="19" xfId="7" applyFont="1" applyFill="1" applyBorder="1" applyAlignment="1">
      <alignment horizontal="center" vertical="center"/>
    </xf>
    <xf numFmtId="43" fontId="24" fillId="11" borderId="19" xfId="7" applyFont="1" applyFill="1" applyBorder="1" applyAlignment="1">
      <alignment horizontal="center" vertical="center"/>
    </xf>
    <xf numFmtId="0" fontId="0" fillId="11" borderId="19" xfId="0" applyFill="1" applyBorder="1" applyAlignment="1">
      <alignment horizontal="center" vertical="center" wrapText="1"/>
    </xf>
    <xf numFmtId="0" fontId="0" fillId="7" borderId="19" xfId="0" applyFill="1" applyBorder="1" applyAlignment="1">
      <alignment horizontal="center" vertical="center" wrapText="1"/>
    </xf>
    <xf numFmtId="0" fontId="0" fillId="12" borderId="19" xfId="0" applyFill="1" applyBorder="1" applyAlignment="1">
      <alignment horizontal="center" vertical="center" wrapText="1"/>
    </xf>
    <xf numFmtId="43" fontId="24" fillId="12" borderId="19" xfId="7" applyFont="1" applyFill="1" applyBorder="1" applyAlignment="1">
      <alignment horizontal="center" vertical="center"/>
    </xf>
    <xf numFmtId="0" fontId="0" fillId="13" borderId="19" xfId="0" applyFill="1" applyBorder="1" applyAlignment="1">
      <alignment horizontal="center" vertical="center" wrapText="1"/>
    </xf>
    <xf numFmtId="43" fontId="7" fillId="13" borderId="19" xfId="7" applyFont="1" applyFill="1" applyBorder="1" applyAlignment="1">
      <alignment horizontal="center" vertical="center"/>
    </xf>
    <xf numFmtId="43" fontId="0" fillId="13" borderId="19"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9" xfId="0" applyFill="1" applyBorder="1" applyAlignment="1">
      <alignment horizontal="center" vertical="center" wrapText="1"/>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20" xfId="0" applyFill="1" applyBorder="1" applyAlignment="1">
      <alignment horizontal="center" vertical="center"/>
    </xf>
    <xf numFmtId="43" fontId="24" fillId="15" borderId="19" xfId="7" applyFont="1" applyFill="1" applyBorder="1" applyAlignment="1">
      <alignment horizontal="center" vertical="center"/>
    </xf>
    <xf numFmtId="43" fontId="0" fillId="15" borderId="19" xfId="7" applyFont="1" applyFill="1" applyBorder="1" applyAlignment="1">
      <alignment horizontal="center" vertical="center"/>
    </xf>
    <xf numFmtId="43" fontId="7" fillId="16" borderId="19" xfId="7" applyFont="1" applyFill="1" applyBorder="1" applyAlignment="1">
      <alignment horizontal="center" vertical="center"/>
    </xf>
    <xf numFmtId="0" fontId="0" fillId="16" borderId="19" xfId="0" applyFill="1" applyBorder="1" applyAlignment="1">
      <alignment horizontal="center" vertical="center" wrapText="1"/>
    </xf>
    <xf numFmtId="0" fontId="0" fillId="15" borderId="19" xfId="0" applyFill="1" applyBorder="1" applyAlignment="1">
      <alignment horizontal="center" vertical="center" wrapText="1"/>
    </xf>
    <xf numFmtId="44" fontId="0" fillId="3" borderId="19" xfId="12" applyFont="1" applyFill="1" applyBorder="1" applyAlignment="1">
      <alignment horizontal="center" vertical="center"/>
    </xf>
    <xf numFmtId="44" fontId="16" fillId="11" borderId="19"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16" fillId="7" borderId="19" xfId="12" applyFont="1" applyFill="1" applyBorder="1" applyAlignment="1">
      <alignment horizontal="center" vertical="center" wrapText="1"/>
    </xf>
    <xf numFmtId="44" fontId="16" fillId="17" borderId="19" xfId="12" applyFont="1" applyFill="1" applyBorder="1" applyAlignment="1">
      <alignment horizontal="center" vertical="center" wrapText="1"/>
    </xf>
    <xf numFmtId="44" fontId="16" fillId="14" borderId="19" xfId="12" applyFont="1" applyFill="1" applyBorder="1" applyAlignment="1">
      <alignment horizontal="center" vertical="center" wrapText="1"/>
    </xf>
    <xf numFmtId="44" fontId="16" fillId="12" borderId="19" xfId="12" applyFont="1" applyFill="1" applyBorder="1" applyAlignment="1">
      <alignment horizontal="center" vertical="center" wrapText="1"/>
    </xf>
    <xf numFmtId="44" fontId="16" fillId="13" borderId="19" xfId="12" applyFont="1" applyFill="1" applyBorder="1" applyAlignment="1">
      <alignment horizontal="center" vertical="center" wrapText="1"/>
    </xf>
    <xf numFmtId="44" fontId="16" fillId="15" borderId="19" xfId="12" applyFont="1" applyFill="1" applyBorder="1" applyAlignment="1">
      <alignment horizontal="center" vertical="center" wrapText="1"/>
    </xf>
    <xf numFmtId="44" fontId="16" fillId="16" borderId="19" xfId="12" applyFont="1" applyFill="1" applyBorder="1" applyAlignment="1">
      <alignment horizontal="center" vertical="center" wrapText="1"/>
    </xf>
    <xf numFmtId="10" fontId="0" fillId="3" borderId="19" xfId="13" applyNumberFormat="1" applyFont="1" applyFill="1" applyBorder="1" applyAlignment="1">
      <alignment horizontal="center" vertical="center"/>
    </xf>
    <xf numFmtId="10" fontId="16" fillId="16" borderId="19" xfId="13" applyNumberFormat="1" applyFont="1" applyFill="1" applyBorder="1" applyAlignment="1">
      <alignment horizontal="center" vertical="center" wrapText="1"/>
    </xf>
    <xf numFmtId="9" fontId="0" fillId="3" borderId="1" xfId="0" applyNumberFormat="1" applyFill="1" applyBorder="1" applyAlignment="1">
      <alignment horizontal="center" vertical="center"/>
    </xf>
    <xf numFmtId="166" fontId="0" fillId="3" borderId="1" xfId="13" applyNumberFormat="1" applyFont="1" applyFill="1" applyBorder="1" applyAlignment="1">
      <alignment horizontal="center" vertical="center"/>
    </xf>
    <xf numFmtId="10" fontId="0" fillId="3" borderId="1" xfId="13" applyNumberFormat="1" applyFont="1" applyFill="1" applyBorder="1" applyAlignment="1">
      <alignment horizontal="center" vertical="center"/>
    </xf>
    <xf numFmtId="10" fontId="40" fillId="3" borderId="1" xfId="13" applyNumberFormat="1" applyFont="1" applyFill="1" applyBorder="1" applyAlignment="1">
      <alignment horizontal="center" vertical="center"/>
    </xf>
    <xf numFmtId="0" fontId="38" fillId="3" borderId="1" xfId="0" applyFont="1" applyFill="1" applyBorder="1" applyAlignment="1">
      <alignment horizontal="center" vertical="center" wrapText="1"/>
    </xf>
    <xf numFmtId="9" fontId="0" fillId="10" borderId="1" xfId="0" applyNumberFormat="1" applyFill="1" applyBorder="1" applyAlignment="1">
      <alignment horizontal="center" vertical="center" wrapText="1"/>
    </xf>
    <xf numFmtId="167" fontId="0" fillId="10" borderId="1" xfId="13" applyNumberFormat="1" applyFont="1" applyFill="1" applyBorder="1" applyAlignment="1">
      <alignment horizontal="center" vertical="center" wrapText="1"/>
    </xf>
    <xf numFmtId="9" fontId="39" fillId="10" borderId="1" xfId="0" applyNumberFormat="1" applyFont="1" applyFill="1" applyBorder="1" applyAlignment="1">
      <alignment horizontal="center" vertical="center"/>
    </xf>
    <xf numFmtId="10" fontId="0" fillId="10" borderId="19" xfId="13" applyNumberFormat="1" applyFont="1" applyFill="1" applyBorder="1" applyAlignment="1">
      <alignment horizontal="center" vertical="center" wrapText="1"/>
    </xf>
    <xf numFmtId="9" fontId="0" fillId="10" borderId="19" xfId="12" applyNumberFormat="1" applyFont="1" applyFill="1" applyBorder="1" applyAlignment="1">
      <alignment horizontal="center" vertical="center" wrapText="1"/>
    </xf>
    <xf numFmtId="9" fontId="0" fillId="7" borderId="1" xfId="13" applyFont="1" applyFill="1" applyBorder="1" applyAlignment="1">
      <alignment horizontal="center" vertical="center"/>
    </xf>
    <xf numFmtId="10" fontId="0" fillId="7" borderId="1" xfId="13" applyNumberFormat="1" applyFont="1" applyFill="1" applyBorder="1" applyAlignment="1">
      <alignment horizontal="center" vertical="center"/>
    </xf>
    <xf numFmtId="9" fontId="0" fillId="7" borderId="1" xfId="0" applyNumberFormat="1" applyFill="1" applyBorder="1" applyAlignment="1">
      <alignment horizontal="center" vertical="center"/>
    </xf>
    <xf numFmtId="10" fontId="16" fillId="7" borderId="19" xfId="13" applyNumberFormat="1" applyFont="1" applyFill="1" applyBorder="1" applyAlignment="1">
      <alignment horizontal="center" vertical="center" wrapText="1"/>
    </xf>
    <xf numFmtId="9" fontId="16" fillId="7" borderId="19" xfId="12" applyNumberFormat="1" applyFont="1" applyFill="1" applyBorder="1" applyAlignment="1">
      <alignment horizontal="center" vertical="center" wrapText="1"/>
    </xf>
    <xf numFmtId="10" fontId="0" fillId="11" borderId="1" xfId="13" applyNumberFormat="1" applyFont="1" applyFill="1" applyBorder="1" applyAlignment="1">
      <alignment horizontal="center" vertical="center"/>
    </xf>
    <xf numFmtId="10" fontId="0" fillId="11" borderId="1" xfId="0" applyNumberFormat="1" applyFill="1" applyBorder="1" applyAlignment="1">
      <alignment horizontal="center" vertical="center"/>
    </xf>
    <xf numFmtId="10" fontId="16" fillId="11" borderId="19" xfId="13" applyNumberFormat="1" applyFont="1" applyFill="1" applyBorder="1" applyAlignment="1">
      <alignment horizontal="center" vertical="center" wrapText="1"/>
    </xf>
    <xf numFmtId="9" fontId="16" fillId="11" borderId="19" xfId="12" applyNumberFormat="1" applyFont="1" applyFill="1" applyBorder="1" applyAlignment="1">
      <alignment horizontal="center" vertical="center" wrapText="1"/>
    </xf>
    <xf numFmtId="9" fontId="0" fillId="12" borderId="1" xfId="0" applyNumberFormat="1" applyFill="1" applyBorder="1" applyAlignment="1">
      <alignment horizontal="center" vertical="center"/>
    </xf>
    <xf numFmtId="10" fontId="0" fillId="12" borderId="1" xfId="13" applyNumberFormat="1" applyFont="1" applyFill="1" applyBorder="1" applyAlignment="1">
      <alignment horizontal="center" vertical="center"/>
    </xf>
    <xf numFmtId="10" fontId="0" fillId="12" borderId="1" xfId="0" applyNumberFormat="1" applyFill="1" applyBorder="1" applyAlignment="1">
      <alignment horizontal="center" vertical="center"/>
    </xf>
    <xf numFmtId="10" fontId="16" fillId="12" borderId="19" xfId="13" applyNumberFormat="1" applyFont="1" applyFill="1" applyBorder="1" applyAlignment="1">
      <alignment horizontal="center" vertical="center" wrapText="1"/>
    </xf>
    <xf numFmtId="9" fontId="16" fillId="12" borderId="19" xfId="12" applyNumberFormat="1" applyFont="1" applyFill="1" applyBorder="1" applyAlignment="1">
      <alignment horizontal="center" vertical="center" wrapText="1"/>
    </xf>
    <xf numFmtId="10" fontId="16" fillId="13" borderId="19" xfId="13" applyNumberFormat="1" applyFont="1" applyFill="1" applyBorder="1" applyAlignment="1">
      <alignment horizontal="center" vertical="center" wrapText="1"/>
    </xf>
    <xf numFmtId="9" fontId="16" fillId="13" borderId="19" xfId="12" applyNumberFormat="1" applyFont="1" applyFill="1" applyBorder="1" applyAlignment="1">
      <alignment horizontal="center" vertical="center" wrapText="1"/>
    </xf>
    <xf numFmtId="10" fontId="16" fillId="14" borderId="19" xfId="13" applyNumberFormat="1" applyFont="1" applyFill="1" applyBorder="1" applyAlignment="1">
      <alignment horizontal="center" vertical="center" wrapText="1"/>
    </xf>
    <xf numFmtId="9" fontId="16" fillId="14" borderId="19" xfId="12" applyNumberFormat="1" applyFont="1" applyFill="1" applyBorder="1" applyAlignment="1">
      <alignment horizontal="center" vertical="center" wrapText="1"/>
    </xf>
    <xf numFmtId="10" fontId="16" fillId="15" borderId="19" xfId="13" applyNumberFormat="1" applyFont="1" applyFill="1" applyBorder="1" applyAlignment="1">
      <alignment horizontal="center" vertical="center" wrapText="1"/>
    </xf>
    <xf numFmtId="9" fontId="16" fillId="15" borderId="19" xfId="12" applyNumberFormat="1" applyFont="1" applyFill="1" applyBorder="1" applyAlignment="1">
      <alignment horizontal="center" vertical="center" wrapText="1"/>
    </xf>
    <xf numFmtId="9" fontId="0" fillId="17" borderId="1" xfId="0" applyNumberFormat="1" applyFill="1" applyBorder="1" applyAlignment="1">
      <alignment horizontal="center" vertical="center"/>
    </xf>
    <xf numFmtId="9" fontId="16" fillId="17" borderId="19" xfId="13" applyFont="1" applyFill="1" applyBorder="1" applyAlignment="1">
      <alignment horizontal="center" vertical="center" wrapText="1"/>
    </xf>
    <xf numFmtId="9" fontId="16" fillId="17" borderId="19" xfId="12" applyNumberFormat="1" applyFont="1" applyFill="1" applyBorder="1" applyAlignment="1">
      <alignment horizontal="center" vertical="center" wrapText="1"/>
    </xf>
    <xf numFmtId="9" fontId="0" fillId="0" borderId="1" xfId="0" applyNumberFormat="1" applyBorder="1" applyAlignment="1">
      <alignment horizontal="center" vertical="center"/>
    </xf>
    <xf numFmtId="44" fontId="0" fillId="0" borderId="1" xfId="0" applyNumberFormat="1" applyBorder="1" applyAlignment="1">
      <alignment horizontal="center" vertical="center"/>
    </xf>
    <xf numFmtId="9"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9" fontId="0" fillId="0" borderId="1" xfId="13" applyFont="1" applyBorder="1" applyAlignment="1">
      <alignment horizontal="center" vertical="center"/>
    </xf>
    <xf numFmtId="10" fontId="0" fillId="2" borderId="1" xfId="13" applyNumberFormat="1" applyFont="1" applyFill="1" applyBorder="1" applyAlignment="1">
      <alignment horizontal="center" vertical="center"/>
    </xf>
    <xf numFmtId="167" fontId="0" fillId="2" borderId="1" xfId="13" applyNumberFormat="1" applyFont="1" applyFill="1" applyBorder="1" applyAlignment="1">
      <alignment horizontal="center" vertical="center"/>
    </xf>
    <xf numFmtId="0" fontId="0" fillId="24" borderId="1" xfId="0" applyFill="1" applyBorder="1" applyAlignment="1">
      <alignment horizontal="center" vertical="center" wrapText="1"/>
    </xf>
    <xf numFmtId="0" fontId="24" fillId="24" borderId="1" xfId="0" applyFont="1" applyFill="1" applyBorder="1" applyAlignment="1">
      <alignment horizontal="center" vertical="center" wrapText="1"/>
    </xf>
    <xf numFmtId="0" fontId="0" fillId="24" borderId="1" xfId="0" applyFill="1" applyBorder="1" applyAlignment="1">
      <alignment horizontal="center" vertical="center"/>
    </xf>
    <xf numFmtId="0" fontId="7" fillId="10" borderId="1" xfId="7" applyNumberFormat="1" applyFont="1" applyFill="1" applyBorder="1" applyAlignment="1">
      <alignment horizontal="center" vertical="center" wrapText="1"/>
    </xf>
    <xf numFmtId="0" fontId="7" fillId="7" borderId="1" xfId="7" applyNumberFormat="1" applyFont="1" applyFill="1" applyBorder="1" applyAlignment="1">
      <alignment horizontal="center" vertical="center" wrapText="1"/>
    </xf>
    <xf numFmtId="0" fontId="14" fillId="16" borderId="1" xfId="0" applyFont="1" applyFill="1" applyBorder="1" applyAlignment="1">
      <alignment horizontal="center" vertical="center"/>
    </xf>
    <xf numFmtId="0" fontId="14" fillId="17" borderId="1" xfId="0" applyFont="1" applyFill="1" applyBorder="1" applyAlignment="1">
      <alignment horizontal="center" vertical="center"/>
    </xf>
    <xf numFmtId="10" fontId="7" fillId="22" borderId="1" xfId="13" applyNumberFormat="1"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5" fillId="22" borderId="1" xfId="0" applyFont="1" applyFill="1" applyBorder="1" applyAlignment="1">
      <alignment horizontal="center" vertical="center" wrapText="1"/>
    </xf>
    <xf numFmtId="44" fontId="32" fillId="0" borderId="18" xfId="12" applyFont="1" applyBorder="1" applyAlignment="1">
      <alignment horizontal="right" vertical="center" wrapText="1"/>
    </xf>
    <xf numFmtId="10" fontId="32" fillId="0" borderId="18" xfId="13" applyNumberFormat="1" applyFont="1" applyBorder="1" applyAlignment="1">
      <alignment horizontal="center" vertical="center" wrapText="1"/>
    </xf>
    <xf numFmtId="10" fontId="32" fillId="0" borderId="1" xfId="13" applyNumberFormat="1" applyFont="1" applyBorder="1" applyAlignment="1">
      <alignment horizontal="center" vertical="center" wrapText="1"/>
    </xf>
    <xf numFmtId="44" fontId="32" fillId="0" borderId="1" xfId="12" applyFont="1" applyBorder="1" applyAlignment="1">
      <alignment horizontal="right" vertical="center" wrapText="1"/>
    </xf>
    <xf numFmtId="44" fontId="32" fillId="0" borderId="1" xfId="12" applyFont="1" applyBorder="1" applyAlignment="1">
      <alignment vertical="center" wrapText="1"/>
    </xf>
    <xf numFmtId="0" fontId="5" fillId="22" borderId="18" xfId="0" applyFont="1" applyFill="1" applyBorder="1" applyAlignment="1">
      <alignment horizontal="center" vertical="center" wrapText="1"/>
    </xf>
    <xf numFmtId="9" fontId="35" fillId="7" borderId="1" xfId="0" applyNumberFormat="1" applyFont="1" applyFill="1" applyBorder="1" applyAlignment="1">
      <alignment horizontal="center" vertical="center" wrapText="1"/>
    </xf>
    <xf numFmtId="3" fontId="7" fillId="15" borderId="1" xfId="0" applyNumberFormat="1" applyFont="1" applyFill="1" applyBorder="1" applyAlignment="1">
      <alignment horizontal="center" vertical="center" wrapText="1"/>
    </xf>
    <xf numFmtId="0" fontId="7" fillId="22" borderId="0" xfId="0" applyFont="1" applyFill="1" applyAlignment="1">
      <alignment horizontal="center" wrapText="1"/>
    </xf>
    <xf numFmtId="0" fontId="7" fillId="15" borderId="11" xfId="0" applyFont="1" applyFill="1" applyBorder="1" applyAlignment="1">
      <alignment horizontal="center" vertical="center" wrapText="1"/>
    </xf>
    <xf numFmtId="0" fontId="7" fillId="15" borderId="18" xfId="0" applyFont="1" applyFill="1" applyBorder="1" applyAlignment="1">
      <alignment horizontal="center" vertical="center" wrapText="1"/>
    </xf>
    <xf numFmtId="0" fontId="28" fillId="15" borderId="1" xfId="0" applyFont="1" applyFill="1" applyBorder="1" applyAlignment="1">
      <alignment horizontal="center" vertical="center" wrapText="1"/>
    </xf>
    <xf numFmtId="43" fontId="14" fillId="0" borderId="0" xfId="7" applyFont="1"/>
    <xf numFmtId="0" fontId="0" fillId="0" borderId="1" xfId="0" applyBorder="1"/>
    <xf numFmtId="0" fontId="0" fillId="0" borderId="1" xfId="0" applyBorder="1" applyAlignment="1">
      <alignment wrapText="1"/>
    </xf>
    <xf numFmtId="43" fontId="14" fillId="0" borderId="1" xfId="7" applyFont="1" applyBorder="1"/>
    <xf numFmtId="0" fontId="14" fillId="0" borderId="1" xfId="0" applyFont="1" applyBorder="1" applyAlignment="1">
      <alignment horizontal="center" vertical="center"/>
    </xf>
    <xf numFmtId="43" fontId="0" fillId="0" borderId="1" xfId="7" applyFont="1" applyBorder="1"/>
    <xf numFmtId="0" fontId="14" fillId="0" borderId="1" xfId="0" applyFont="1" applyBorder="1" applyAlignment="1">
      <alignment horizontal="center" vertical="center" wrapText="1"/>
    </xf>
    <xf numFmtId="0" fontId="16" fillId="15" borderId="1"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20" xfId="0" applyFont="1" applyFill="1" applyBorder="1" applyAlignment="1">
      <alignment horizontal="center" vertical="center" wrapText="1"/>
    </xf>
    <xf numFmtId="9" fontId="28" fillId="7" borderId="1" xfId="13" applyFont="1" applyFill="1" applyBorder="1" applyAlignment="1">
      <alignment horizontal="center" vertical="center" wrapText="1"/>
    </xf>
    <xf numFmtId="10" fontId="32" fillId="7" borderId="1" xfId="13"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18" fillId="2" borderId="1" xfId="0" applyFont="1" applyFill="1" applyBorder="1" applyAlignment="1">
      <alignment horizont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32" fillId="19" borderId="18" xfId="0" applyFont="1" applyFill="1" applyBorder="1" applyAlignment="1">
      <alignment horizontal="center" vertical="center" wrapText="1"/>
    </xf>
    <xf numFmtId="0" fontId="32" fillId="19" borderId="2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25" borderId="18"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32" fillId="9" borderId="18" xfId="0" applyFont="1" applyFill="1" applyBorder="1" applyAlignment="1">
      <alignment horizontal="center" vertical="center" wrapText="1"/>
    </xf>
    <xf numFmtId="0" fontId="32" fillId="9" borderId="20" xfId="0" applyFont="1" applyFill="1" applyBorder="1" applyAlignment="1">
      <alignment horizontal="center" vertical="center" wrapText="1"/>
    </xf>
    <xf numFmtId="0" fontId="32" fillId="8" borderId="18" xfId="0" applyFont="1" applyFill="1" applyBorder="1" applyAlignment="1">
      <alignment horizontal="center" vertical="center" wrapText="1"/>
    </xf>
    <xf numFmtId="0" fontId="32" fillId="8" borderId="20" xfId="0" applyFont="1" applyFill="1" applyBorder="1" applyAlignment="1">
      <alignment horizontal="center" vertical="center" wrapText="1"/>
    </xf>
    <xf numFmtId="44" fontId="32" fillId="0" borderId="18" xfId="12" applyFont="1" applyBorder="1" applyAlignment="1">
      <alignment horizontal="right" vertical="center" wrapText="1"/>
    </xf>
    <xf numFmtId="44" fontId="32" fillId="0" borderId="19" xfId="12" applyFont="1" applyBorder="1" applyAlignment="1">
      <alignment horizontal="right" vertical="center" wrapText="1"/>
    </xf>
    <xf numFmtId="44" fontId="32" fillId="0" borderId="20" xfId="12" applyFont="1" applyBorder="1" applyAlignment="1">
      <alignment horizontal="right" vertical="center" wrapText="1"/>
    </xf>
    <xf numFmtId="10" fontId="32" fillId="0" borderId="18" xfId="13" applyNumberFormat="1" applyFont="1" applyBorder="1" applyAlignment="1">
      <alignment horizontal="right" vertical="center" wrapText="1"/>
    </xf>
    <xf numFmtId="10" fontId="32" fillId="0" borderId="19" xfId="13" applyNumberFormat="1" applyFont="1" applyBorder="1" applyAlignment="1">
      <alignment horizontal="right" vertical="center" wrapText="1"/>
    </xf>
    <xf numFmtId="0" fontId="32" fillId="0" borderId="19" xfId="13" applyNumberFormat="1" applyFont="1" applyBorder="1" applyAlignment="1">
      <alignment horizontal="right" vertical="center" wrapText="1"/>
    </xf>
    <xf numFmtId="10" fontId="32" fillId="0" borderId="20" xfId="13" applyNumberFormat="1" applyFont="1" applyBorder="1" applyAlignment="1">
      <alignment horizontal="right" vertical="center" wrapText="1"/>
    </xf>
    <xf numFmtId="0" fontId="32" fillId="11" borderId="18" xfId="0" applyFont="1" applyFill="1" applyBorder="1" applyAlignment="1">
      <alignment horizontal="center" vertical="center" wrapText="1"/>
    </xf>
    <xf numFmtId="0" fontId="32" fillId="11" borderId="20" xfId="0" applyFont="1" applyFill="1" applyBorder="1" applyAlignment="1">
      <alignment horizontal="center" vertical="center" wrapText="1"/>
    </xf>
    <xf numFmtId="0" fontId="32" fillId="13" borderId="18" xfId="0" applyFont="1" applyFill="1" applyBorder="1" applyAlignment="1">
      <alignment horizontal="center" vertical="center" wrapText="1"/>
    </xf>
    <xf numFmtId="0" fontId="32" fillId="13" borderId="20" xfId="0" applyFont="1" applyFill="1" applyBorder="1" applyAlignment="1">
      <alignment horizontal="center" vertical="center" wrapText="1"/>
    </xf>
    <xf numFmtId="44" fontId="32" fillId="23" borderId="1" xfId="12" applyFont="1" applyFill="1" applyBorder="1" applyAlignment="1">
      <alignment horizontal="center" vertical="center" wrapText="1"/>
    </xf>
    <xf numFmtId="0" fontId="32" fillId="2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1" xfId="0" applyFont="1" applyFill="1" applyBorder="1" applyAlignment="1">
      <alignment horizontal="center" vertical="center"/>
    </xf>
    <xf numFmtId="0" fontId="33" fillId="2" borderId="3" xfId="0" applyFont="1" applyFill="1" applyBorder="1" applyAlignment="1">
      <alignment horizontal="center" vertical="center" wrapText="1"/>
    </xf>
    <xf numFmtId="0" fontId="33" fillId="2" borderId="4" xfId="0" applyFont="1" applyFill="1" applyBorder="1" applyAlignment="1">
      <alignment horizontal="center" vertical="center" wrapText="1"/>
    </xf>
    <xf numFmtId="44" fontId="32" fillId="0" borderId="18" xfId="12" applyFont="1" applyBorder="1" applyAlignment="1">
      <alignment horizontal="center" vertical="center" wrapText="1"/>
    </xf>
    <xf numFmtId="44" fontId="32" fillId="0" borderId="20" xfId="12" applyFont="1" applyBorder="1" applyAlignment="1">
      <alignment horizontal="center" vertical="center" wrapText="1"/>
    </xf>
    <xf numFmtId="0" fontId="33" fillId="2" borderId="2" xfId="0" applyFont="1" applyFill="1" applyBorder="1" applyAlignment="1">
      <alignment horizontal="center" vertical="center" wrapText="1"/>
    </xf>
    <xf numFmtId="10" fontId="32" fillId="0" borderId="18" xfId="13" applyNumberFormat="1" applyFont="1" applyBorder="1" applyAlignment="1">
      <alignment horizontal="center" vertical="center" wrapText="1"/>
    </xf>
    <xf numFmtId="10" fontId="32" fillId="0" borderId="20" xfId="13" applyNumberFormat="1" applyFont="1" applyBorder="1" applyAlignment="1">
      <alignment horizontal="center" vertical="center" wrapText="1"/>
    </xf>
    <xf numFmtId="44" fontId="32" fillId="0" borderId="1" xfId="12" applyFont="1" applyBorder="1" applyAlignment="1">
      <alignment horizontal="right" vertical="center" wrapText="1"/>
    </xf>
    <xf numFmtId="0" fontId="35" fillId="2" borderId="2" xfId="0" applyFont="1" applyFill="1" applyBorder="1" applyAlignment="1">
      <alignment horizontal="center" vertical="center" wrapText="1"/>
    </xf>
    <xf numFmtId="0" fontId="35" fillId="2" borderId="3" xfId="0" applyFont="1" applyFill="1" applyBorder="1" applyAlignment="1">
      <alignment horizontal="center" vertical="center" wrapText="1"/>
    </xf>
    <xf numFmtId="44" fontId="32" fillId="0" borderId="1" xfId="12" applyFont="1" applyBorder="1" applyAlignment="1">
      <alignment horizontal="center" vertical="center" wrapText="1"/>
    </xf>
    <xf numFmtId="10" fontId="32" fillId="0" borderId="1" xfId="13" applyNumberFormat="1" applyFont="1" applyBorder="1" applyAlignment="1">
      <alignment horizontal="center" vertical="center" wrapText="1"/>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3" xfId="0" applyFont="1" applyFill="1" applyBorder="1" applyAlignment="1">
      <alignment horizontal="center" vertical="center"/>
    </xf>
    <xf numFmtId="44" fontId="32" fillId="0" borderId="19" xfId="12" applyFont="1" applyBorder="1" applyAlignment="1">
      <alignment horizontal="center" vertical="center" wrapText="1"/>
    </xf>
    <xf numFmtId="10" fontId="32" fillId="0" borderId="19" xfId="13" applyNumberFormat="1"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7" fillId="2" borderId="3" xfId="0" applyFont="1" applyFill="1" applyBorder="1" applyAlignment="1">
      <alignment horizontal="center" vertical="center"/>
    </xf>
    <xf numFmtId="0" fontId="37" fillId="2" borderId="4" xfId="0" applyFont="1" applyFill="1" applyBorder="1" applyAlignment="1">
      <alignment horizontal="center" vertical="center"/>
    </xf>
    <xf numFmtId="0" fontId="44" fillId="2" borderId="2" xfId="0" applyFont="1" applyFill="1" applyBorder="1" applyAlignment="1">
      <alignment horizontal="center" vertical="center" wrapText="1"/>
    </xf>
    <xf numFmtId="0" fontId="14" fillId="0" borderId="2" xfId="0" applyFont="1" applyBorder="1" applyAlignment="1">
      <alignment wrapText="1"/>
    </xf>
    <xf numFmtId="0" fontId="14" fillId="0" borderId="4" xfId="0" applyFont="1" applyBorder="1" applyAlignment="1">
      <alignment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3"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19" fillId="2" borderId="2" xfId="1" applyFont="1" applyFill="1" applyBorder="1" applyAlignment="1">
      <alignment horizontal="center" vertical="center"/>
    </xf>
    <xf numFmtId="0" fontId="19" fillId="2" borderId="4" xfId="1" applyFont="1" applyFill="1" applyBorder="1" applyAlignment="1">
      <alignment horizontal="center" vertical="center"/>
    </xf>
    <xf numFmtId="10" fontId="0" fillId="3" borderId="18" xfId="13" applyNumberFormat="1" applyFont="1" applyFill="1" applyBorder="1" applyAlignment="1">
      <alignment horizontal="center" vertical="center"/>
    </xf>
    <xf numFmtId="10" fontId="0" fillId="3" borderId="19" xfId="13" applyNumberFormat="1" applyFont="1" applyFill="1" applyBorder="1" applyAlignment="1">
      <alignment horizontal="center" vertical="center"/>
    </xf>
    <xf numFmtId="10" fontId="0" fillId="3" borderId="20" xfId="13" applyNumberFormat="1" applyFont="1" applyFill="1" applyBorder="1" applyAlignment="1">
      <alignment horizontal="center" vertical="center"/>
    </xf>
    <xf numFmtId="0" fontId="33" fillId="3" borderId="2" xfId="0"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4" xfId="0" applyFont="1" applyFill="1" applyBorder="1" applyAlignment="1">
      <alignment horizontal="center" vertical="center" wrapText="1"/>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44" fontId="0" fillId="10" borderId="18"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0" fillId="10" borderId="20" xfId="12" applyFont="1" applyFill="1" applyBorder="1" applyAlignment="1">
      <alignment horizontal="center" vertical="center" wrapText="1"/>
    </xf>
    <xf numFmtId="10" fontId="0" fillId="10" borderId="18" xfId="0" applyNumberFormat="1" applyFill="1" applyBorder="1" applyAlignment="1">
      <alignment horizontal="center" vertical="center" wrapText="1"/>
    </xf>
    <xf numFmtId="10" fontId="0" fillId="10" borderId="19" xfId="0" applyNumberFormat="1" applyFill="1" applyBorder="1" applyAlignment="1">
      <alignment horizontal="center" vertical="center" wrapText="1"/>
    </xf>
    <xf numFmtId="10" fontId="0" fillId="10" borderId="20" xfId="0" applyNumberFormat="1" applyFill="1" applyBorder="1" applyAlignment="1">
      <alignment horizontal="center" vertical="center" wrapText="1"/>
    </xf>
    <xf numFmtId="44" fontId="0" fillId="3" borderId="18" xfId="12" applyFont="1" applyFill="1" applyBorder="1" applyAlignment="1">
      <alignment horizontal="center" vertical="center"/>
    </xf>
    <xf numFmtId="44" fontId="0" fillId="3" borderId="19" xfId="12" applyFont="1" applyFill="1" applyBorder="1" applyAlignment="1">
      <alignment horizontal="center" vertical="center"/>
    </xf>
    <xf numFmtId="44" fontId="0" fillId="3" borderId="20" xfId="12" applyFont="1" applyFill="1" applyBorder="1" applyAlignment="1">
      <alignment horizontal="center" vertical="center"/>
    </xf>
    <xf numFmtId="10" fontId="0" fillId="3" borderId="18" xfId="0" applyNumberFormat="1" applyFill="1" applyBorder="1" applyAlignment="1">
      <alignment horizontal="center" vertical="center"/>
    </xf>
    <xf numFmtId="10" fontId="0" fillId="3" borderId="19" xfId="0" applyNumberFormat="1" applyFill="1" applyBorder="1" applyAlignment="1">
      <alignment horizontal="center" vertical="center"/>
    </xf>
    <xf numFmtId="10" fontId="0" fillId="3" borderId="20" xfId="0" applyNumberFormat="1" applyFill="1" applyBorder="1" applyAlignment="1">
      <alignment horizontal="center" vertical="center"/>
    </xf>
    <xf numFmtId="9" fontId="0" fillId="10" borderId="18" xfId="12" applyNumberFormat="1" applyFont="1" applyFill="1" applyBorder="1" applyAlignment="1">
      <alignment horizontal="center" vertical="center" wrapText="1"/>
    </xf>
    <xf numFmtId="164" fontId="24" fillId="7" borderId="18" xfId="7" applyNumberFormat="1" applyFont="1" applyFill="1" applyBorder="1" applyAlignment="1">
      <alignment horizontal="center" vertical="center"/>
    </xf>
    <xf numFmtId="164" fontId="24" fillId="7" borderId="19" xfId="7" applyNumberFormat="1" applyFont="1" applyFill="1" applyBorder="1" applyAlignment="1">
      <alignment horizontal="center" vertical="center"/>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44" fontId="16" fillId="7" borderId="18" xfId="12" applyFont="1" applyFill="1" applyBorder="1" applyAlignment="1">
      <alignment horizontal="center" vertical="center" wrapText="1"/>
    </xf>
    <xf numFmtId="44" fontId="16" fillId="7" borderId="19" xfId="12" applyFont="1" applyFill="1" applyBorder="1" applyAlignment="1">
      <alignment horizontal="center" vertical="center" wrapText="1"/>
    </xf>
    <xf numFmtId="44" fontId="16" fillId="7" borderId="20" xfId="12" applyFont="1" applyFill="1" applyBorder="1" applyAlignment="1">
      <alignment horizontal="center" vertical="center" wrapText="1"/>
    </xf>
    <xf numFmtId="10" fontId="16" fillId="7" borderId="18" xfId="0" applyNumberFormat="1" applyFont="1" applyFill="1" applyBorder="1" applyAlignment="1">
      <alignment horizontal="center" vertical="center" wrapText="1"/>
    </xf>
    <xf numFmtId="10" fontId="16" fillId="7" borderId="19" xfId="0" applyNumberFormat="1" applyFont="1" applyFill="1" applyBorder="1" applyAlignment="1">
      <alignment horizontal="center" vertical="center" wrapText="1"/>
    </xf>
    <xf numFmtId="10" fontId="16" fillId="7" borderId="20" xfId="0" applyNumberFormat="1" applyFont="1" applyFill="1" applyBorder="1" applyAlignment="1">
      <alignment horizontal="center" vertical="center" wrapText="1"/>
    </xf>
    <xf numFmtId="9" fontId="16" fillId="7" borderId="18" xfId="12" applyNumberFormat="1" applyFont="1" applyFill="1" applyBorder="1" applyAlignment="1">
      <alignment horizontal="center" vertical="center" wrapText="1"/>
    </xf>
    <xf numFmtId="43" fontId="24" fillId="11" borderId="18" xfId="7" applyFont="1" applyFill="1" applyBorder="1" applyAlignment="1">
      <alignment horizontal="center" vertical="center"/>
    </xf>
    <xf numFmtId="43" fontId="24" fillId="11" borderId="19" xfId="7" applyFont="1" applyFill="1" applyBorder="1" applyAlignment="1">
      <alignment horizontal="center" vertical="center"/>
    </xf>
    <xf numFmtId="43" fontId="24"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44" fontId="16" fillId="11" borderId="18" xfId="12" applyFont="1" applyFill="1" applyBorder="1" applyAlignment="1">
      <alignment horizontal="center" vertical="center" wrapText="1"/>
    </xf>
    <xf numFmtId="44" fontId="16" fillId="11" borderId="19" xfId="12" applyFont="1" applyFill="1" applyBorder="1" applyAlignment="1">
      <alignment horizontal="center" vertical="center" wrapText="1"/>
    </xf>
    <xf numFmtId="44" fontId="16" fillId="11" borderId="20" xfId="12" applyFont="1" applyFill="1" applyBorder="1" applyAlignment="1">
      <alignment horizontal="center" vertical="center" wrapText="1"/>
    </xf>
    <xf numFmtId="10" fontId="16" fillId="11" borderId="18" xfId="0" applyNumberFormat="1" applyFont="1" applyFill="1" applyBorder="1" applyAlignment="1">
      <alignment horizontal="center" vertical="center" wrapText="1"/>
    </xf>
    <xf numFmtId="10" fontId="16" fillId="11" borderId="19" xfId="0" applyNumberFormat="1" applyFont="1" applyFill="1" applyBorder="1" applyAlignment="1">
      <alignment horizontal="center" vertical="center" wrapText="1"/>
    </xf>
    <xf numFmtId="10" fontId="16" fillId="11" borderId="20" xfId="0" applyNumberFormat="1" applyFont="1" applyFill="1" applyBorder="1" applyAlignment="1">
      <alignment horizontal="center" vertical="center" wrapText="1"/>
    </xf>
    <xf numFmtId="10" fontId="16" fillId="12" borderId="18" xfId="0" applyNumberFormat="1" applyFont="1" applyFill="1" applyBorder="1" applyAlignment="1">
      <alignment horizontal="center" vertical="center" wrapText="1"/>
    </xf>
    <xf numFmtId="0" fontId="16" fillId="12" borderId="19" xfId="0" applyFont="1" applyFill="1" applyBorder="1" applyAlignment="1">
      <alignment horizontal="center" vertical="center" wrapText="1"/>
    </xf>
    <xf numFmtId="0" fontId="16" fillId="12" borderId="20" xfId="0" applyFont="1" applyFill="1" applyBorder="1" applyAlignment="1">
      <alignment horizontal="center" vertical="center" wrapText="1"/>
    </xf>
    <xf numFmtId="44" fontId="16" fillId="12" borderId="18" xfId="12" applyFont="1" applyFill="1" applyBorder="1" applyAlignment="1">
      <alignment horizontal="center" vertical="center" wrapText="1"/>
    </xf>
    <xf numFmtId="44" fontId="16" fillId="12" borderId="19" xfId="12" applyFont="1" applyFill="1" applyBorder="1" applyAlignment="1">
      <alignment horizontal="center" vertical="center" wrapText="1"/>
    </xf>
    <xf numFmtId="44" fontId="16" fillId="12" borderId="20" xfId="12" applyFont="1" applyFill="1" applyBorder="1" applyAlignment="1">
      <alignment horizontal="center" vertical="center" wrapText="1"/>
    </xf>
    <xf numFmtId="9" fontId="16" fillId="12" borderId="18" xfId="12" applyNumberFormat="1" applyFont="1" applyFill="1" applyBorder="1" applyAlignment="1">
      <alignment horizontal="center" vertical="center" wrapText="1"/>
    </xf>
    <xf numFmtId="9" fontId="16" fillId="11" borderId="18" xfId="12" applyNumberFormat="1" applyFont="1" applyFill="1" applyBorder="1" applyAlignment="1">
      <alignment horizontal="center" vertical="center" wrapText="1"/>
    </xf>
    <xf numFmtId="43" fontId="24" fillId="12" borderId="18" xfId="7" applyFont="1" applyFill="1" applyBorder="1" applyAlignment="1">
      <alignment horizontal="center" vertical="center"/>
    </xf>
    <xf numFmtId="43" fontId="24" fillId="12" borderId="19" xfId="7" applyFont="1" applyFill="1" applyBorder="1" applyAlignment="1">
      <alignment horizontal="center" vertical="center"/>
    </xf>
    <xf numFmtId="43" fontId="24" fillId="12" borderId="20" xfId="7" applyFont="1" applyFill="1" applyBorder="1" applyAlignment="1">
      <alignment horizontal="center" vertical="center"/>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10" fontId="16" fillId="14" borderId="18" xfId="0" applyNumberFormat="1" applyFont="1" applyFill="1" applyBorder="1" applyAlignment="1">
      <alignment horizontal="center" vertical="center" wrapText="1"/>
    </xf>
    <xf numFmtId="10" fontId="16" fillId="14" borderId="19" xfId="0" applyNumberFormat="1" applyFont="1" applyFill="1" applyBorder="1" applyAlignment="1">
      <alignment horizontal="center" vertical="center" wrapText="1"/>
    </xf>
    <xf numFmtId="44" fontId="16" fillId="14" borderId="18" xfId="12" applyFont="1" applyFill="1" applyBorder="1" applyAlignment="1">
      <alignment horizontal="center" vertical="center" wrapText="1"/>
    </xf>
    <xf numFmtId="44" fontId="16" fillId="14" borderId="19" xfId="12" applyFont="1" applyFill="1" applyBorder="1" applyAlignment="1">
      <alignment horizontal="center" vertical="center" wrapText="1"/>
    </xf>
    <xf numFmtId="9" fontId="16" fillId="14" borderId="18" xfId="12" applyNumberFormat="1" applyFont="1" applyFill="1" applyBorder="1" applyAlignment="1">
      <alignment horizontal="center" vertical="center" wrapText="1"/>
    </xf>
    <xf numFmtId="44" fontId="16" fillId="13" borderId="18" xfId="12" applyFont="1" applyFill="1" applyBorder="1" applyAlignment="1">
      <alignment horizontal="center" vertical="center" wrapText="1"/>
    </xf>
    <xf numFmtId="44" fontId="16" fillId="13" borderId="19" xfId="12" applyFont="1" applyFill="1" applyBorder="1" applyAlignment="1">
      <alignment horizontal="center" vertical="center" wrapText="1"/>
    </xf>
    <xf numFmtId="44" fontId="16" fillId="13" borderId="20" xfId="12" applyFont="1" applyFill="1" applyBorder="1" applyAlignment="1">
      <alignment horizontal="center" vertical="center" wrapText="1"/>
    </xf>
    <xf numFmtId="9" fontId="16" fillId="13" borderId="18" xfId="12" applyNumberFormat="1" applyFont="1" applyFill="1" applyBorder="1" applyAlignment="1">
      <alignment horizontal="center" vertical="center" wrapText="1"/>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10" fontId="16" fillId="13" borderId="18" xfId="0" applyNumberFormat="1" applyFont="1" applyFill="1" applyBorder="1" applyAlignment="1">
      <alignment horizontal="center" vertical="center" wrapText="1"/>
    </xf>
    <xf numFmtId="10" fontId="16" fillId="13" borderId="19" xfId="0" applyNumberFormat="1" applyFont="1" applyFill="1" applyBorder="1" applyAlignment="1">
      <alignment horizontal="center" vertical="center" wrapText="1"/>
    </xf>
    <xf numFmtId="10" fontId="16" fillId="13" borderId="20" xfId="0" applyNumberFormat="1" applyFont="1" applyFill="1" applyBorder="1" applyAlignment="1">
      <alignment horizontal="center" vertical="center" wrapText="1"/>
    </xf>
    <xf numFmtId="10" fontId="16" fillId="16" borderId="18" xfId="0" applyNumberFormat="1" applyFont="1" applyFill="1" applyBorder="1" applyAlignment="1">
      <alignment horizontal="center" vertical="center" wrapText="1"/>
    </xf>
    <xf numFmtId="10" fontId="16" fillId="16" borderId="19" xfId="0" applyNumberFormat="1" applyFont="1" applyFill="1" applyBorder="1" applyAlignment="1">
      <alignment horizontal="center" vertical="center" wrapText="1"/>
    </xf>
    <xf numFmtId="10" fontId="16" fillId="16" borderId="20" xfId="0" applyNumberFormat="1" applyFont="1" applyFill="1" applyBorder="1" applyAlignment="1">
      <alignment horizontal="center" vertical="center" wrapText="1"/>
    </xf>
    <xf numFmtId="44" fontId="16" fillId="16" borderId="18" xfId="12" applyFont="1" applyFill="1" applyBorder="1" applyAlignment="1">
      <alignment horizontal="center" vertical="center" wrapText="1"/>
    </xf>
    <xf numFmtId="44" fontId="16" fillId="16" borderId="19" xfId="12" applyFont="1" applyFill="1" applyBorder="1" applyAlignment="1">
      <alignment horizontal="center" vertical="center" wrapText="1"/>
    </xf>
    <xf numFmtId="44" fontId="16" fillId="16" borderId="20" xfId="12" applyFont="1" applyFill="1" applyBorder="1" applyAlignment="1">
      <alignment horizontal="center" vertical="center" wrapText="1"/>
    </xf>
    <xf numFmtId="10" fontId="16" fillId="16" borderId="18" xfId="13" applyNumberFormat="1" applyFont="1" applyFill="1" applyBorder="1" applyAlignment="1">
      <alignment horizontal="center" vertical="center" wrapText="1"/>
    </xf>
    <xf numFmtId="10" fontId="16" fillId="16" borderId="19" xfId="13" applyNumberFormat="1" applyFont="1" applyFill="1" applyBorder="1" applyAlignment="1">
      <alignment horizontal="center" vertical="center" wrapText="1"/>
    </xf>
    <xf numFmtId="10" fontId="16" fillId="16" borderId="20" xfId="13" applyNumberFormat="1" applyFont="1" applyFill="1" applyBorder="1" applyAlignment="1">
      <alignment horizontal="center" vertical="center" wrapText="1"/>
    </xf>
    <xf numFmtId="44" fontId="16" fillId="15" borderId="18" xfId="12" applyFont="1" applyFill="1" applyBorder="1" applyAlignment="1">
      <alignment horizontal="center" vertical="center" wrapText="1"/>
    </xf>
    <xf numFmtId="44" fontId="16" fillId="15" borderId="19" xfId="12" applyFont="1" applyFill="1" applyBorder="1" applyAlignment="1">
      <alignment horizontal="center" vertical="center" wrapText="1"/>
    </xf>
    <xf numFmtId="44" fontId="16" fillId="15" borderId="20" xfId="12" applyFont="1" applyFill="1" applyBorder="1" applyAlignment="1">
      <alignment horizontal="center" vertical="center" wrapText="1"/>
    </xf>
    <xf numFmtId="9" fontId="16" fillId="15" borderId="18" xfId="12" applyNumberFormat="1" applyFont="1" applyFill="1" applyBorder="1" applyAlignment="1">
      <alignment horizontal="center" vertical="center" wrapText="1"/>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43" fontId="24" fillId="15" borderId="18" xfId="7" applyFont="1" applyFill="1" applyBorder="1" applyAlignment="1">
      <alignment horizontal="center" vertical="center"/>
    </xf>
    <xf numFmtId="43" fontId="24" fillId="15" borderId="19" xfId="7" applyFont="1" applyFill="1" applyBorder="1" applyAlignment="1">
      <alignment horizontal="center" vertical="center"/>
    </xf>
    <xf numFmtId="43" fontId="24" fillId="15" borderId="20" xfId="7"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43" fontId="0" fillId="15" borderId="20" xfId="7" applyFont="1" applyFill="1" applyBorder="1" applyAlignment="1">
      <alignment horizontal="center" vertical="center"/>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10" fontId="16" fillId="15" borderId="18" xfId="0" applyNumberFormat="1" applyFont="1" applyFill="1" applyBorder="1" applyAlignment="1">
      <alignment horizontal="center" vertical="center" wrapText="1"/>
    </xf>
    <xf numFmtId="0" fontId="16" fillId="15" borderId="19" xfId="0" applyFont="1" applyFill="1" applyBorder="1" applyAlignment="1">
      <alignment horizontal="center" vertical="center" wrapText="1"/>
    </xf>
    <xf numFmtId="0" fontId="16" fillId="15" borderId="20" xfId="0" applyFont="1" applyFill="1" applyBorder="1" applyAlignment="1">
      <alignment horizontal="center" vertical="center" wrapText="1"/>
    </xf>
    <xf numFmtId="44" fontId="16" fillId="18" borderId="18" xfId="12" applyFont="1" applyFill="1" applyBorder="1" applyAlignment="1">
      <alignment horizontal="center" vertical="center" wrapText="1"/>
    </xf>
    <xf numFmtId="44" fontId="16" fillId="18" borderId="20" xfId="12" applyFont="1" applyFill="1" applyBorder="1" applyAlignment="1">
      <alignment horizontal="center" vertical="center" wrapText="1"/>
    </xf>
    <xf numFmtId="9" fontId="16" fillId="18" borderId="18" xfId="13" applyFont="1" applyFill="1" applyBorder="1" applyAlignment="1">
      <alignment horizontal="center" vertical="center" wrapText="1"/>
    </xf>
    <xf numFmtId="9" fontId="16" fillId="18" borderId="20" xfId="13" applyFont="1" applyFill="1" applyBorder="1" applyAlignment="1">
      <alignment horizontal="center" vertical="center" wrapText="1"/>
    </xf>
    <xf numFmtId="9" fontId="16" fillId="18" borderId="18" xfId="12" applyNumberFormat="1" applyFont="1" applyFill="1" applyBorder="1" applyAlignment="1">
      <alignment horizontal="center" vertical="center" wrapText="1"/>
    </xf>
    <xf numFmtId="0" fontId="33" fillId="3" borderId="1" xfId="0" applyFont="1" applyFill="1" applyBorder="1" applyAlignment="1">
      <alignment horizontal="center" vertical="center" wrapText="1"/>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vertical="center"/>
    </xf>
    <xf numFmtId="44" fontId="16" fillId="17" borderId="18" xfId="12" applyFont="1" applyFill="1" applyBorder="1" applyAlignment="1">
      <alignment horizontal="center" vertical="center" wrapText="1"/>
    </xf>
    <xf numFmtId="44" fontId="16" fillId="17" borderId="19" xfId="12" applyFont="1" applyFill="1" applyBorder="1" applyAlignment="1">
      <alignment horizontal="center" vertical="center" wrapText="1"/>
    </xf>
    <xf numFmtId="44" fontId="16" fillId="17" borderId="20" xfId="12" applyFont="1" applyFill="1" applyBorder="1" applyAlignment="1">
      <alignment horizontal="center" vertical="center" wrapText="1"/>
    </xf>
    <xf numFmtId="9" fontId="16" fillId="17" borderId="18" xfId="12" applyNumberFormat="1" applyFont="1" applyFill="1" applyBorder="1" applyAlignment="1">
      <alignment horizontal="center" vertical="center" wrapText="1"/>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10" fontId="16" fillId="18" borderId="18" xfId="0" applyNumberFormat="1" applyFont="1" applyFill="1" applyBorder="1" applyAlignment="1">
      <alignment horizontal="center" vertical="center" wrapText="1"/>
    </xf>
    <xf numFmtId="10" fontId="16" fillId="18" borderId="20" xfId="0" applyNumberFormat="1" applyFont="1" applyFill="1" applyBorder="1" applyAlignment="1">
      <alignment horizontal="center" vertical="center" wrapText="1"/>
    </xf>
    <xf numFmtId="43" fontId="7" fillId="17" borderId="18" xfId="7" applyFont="1" applyFill="1" applyBorder="1" applyAlignment="1">
      <alignment horizontal="center" vertical="center"/>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19" xfId="0" applyFill="1" applyBorder="1" applyAlignment="1">
      <alignment horizontal="center" vertical="center"/>
    </xf>
    <xf numFmtId="0" fontId="0" fillId="17" borderId="20" xfId="0" applyFill="1" applyBorder="1" applyAlignment="1">
      <alignment horizontal="center" vertical="center"/>
    </xf>
    <xf numFmtId="10" fontId="16" fillId="17" borderId="18" xfId="0" applyNumberFormat="1" applyFont="1" applyFill="1" applyBorder="1" applyAlignment="1">
      <alignment horizontal="center" vertical="center" wrapText="1"/>
    </xf>
    <xf numFmtId="10" fontId="16" fillId="17" borderId="19" xfId="0" applyNumberFormat="1" applyFont="1" applyFill="1" applyBorder="1" applyAlignment="1">
      <alignment horizontal="center" vertical="center" wrapText="1"/>
    </xf>
    <xf numFmtId="10" fontId="16" fillId="17" borderId="20" xfId="0" applyNumberFormat="1" applyFont="1" applyFill="1" applyBorder="1" applyAlignment="1">
      <alignment horizontal="center" vertical="center" wrapText="1"/>
    </xf>
    <xf numFmtId="0" fontId="20" fillId="5" borderId="2" xfId="1" applyFont="1" applyFill="1" applyBorder="1" applyAlignment="1">
      <alignment horizontal="center" vertical="center"/>
    </xf>
    <xf numFmtId="0" fontId="20" fillId="5" borderId="3" xfId="1" applyFont="1" applyFill="1" applyBorder="1" applyAlignment="1">
      <alignment horizontal="center" vertical="center"/>
    </xf>
    <xf numFmtId="0" fontId="20" fillId="5" borderId="4" xfId="1" applyFont="1" applyFill="1" applyBorder="1" applyAlignment="1">
      <alignment horizontal="center" vertical="center"/>
    </xf>
    <xf numFmtId="0" fontId="22" fillId="0" borderId="1" xfId="1" applyFont="1" applyBorder="1" applyAlignment="1">
      <alignment horizontal="center" vertical="center"/>
    </xf>
    <xf numFmtId="0" fontId="20" fillId="5" borderId="1" xfId="1" applyFont="1" applyFill="1" applyBorder="1" applyAlignment="1">
      <alignment horizontal="center" vertical="center"/>
    </xf>
    <xf numFmtId="0" fontId="22" fillId="0" borderId="1" xfId="1" applyFont="1" applyBorder="1" applyAlignment="1">
      <alignment horizontal="center" vertical="center" wrapText="1"/>
    </xf>
    <xf numFmtId="0" fontId="22" fillId="0" borderId="1" xfId="1" applyFont="1" applyBorder="1" applyAlignment="1">
      <alignment horizontal="center" wrapText="1"/>
    </xf>
    <xf numFmtId="0" fontId="20" fillId="5" borderId="6"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8" xfId="1" applyFont="1" applyFill="1" applyBorder="1" applyAlignment="1">
      <alignment horizontal="center" vertical="center"/>
    </xf>
    <xf numFmtId="44" fontId="28" fillId="2" borderId="1" xfId="0" applyNumberFormat="1" applyFont="1" applyFill="1" applyBorder="1" applyAlignment="1">
      <alignment horizontal="right" vertical="center"/>
    </xf>
  </cellXfs>
  <cellStyles count="14">
    <cellStyle name="BodyStyle" xfId="5" xr:uid="{00000000-0005-0000-0000-000000000000}"/>
    <cellStyle name="HeaderStyle" xfId="4" xr:uid="{00000000-0005-0000-0000-000001000000}"/>
    <cellStyle name="Millares" xfId="7" builtinId="3"/>
    <cellStyle name="Millares 2" xfId="3" xr:uid="{00000000-0005-0000-0000-000003000000}"/>
    <cellStyle name="Millares 2 2" xfId="8" xr:uid="{901FAA7C-F1EC-4400-9061-651F89B1D9F1}"/>
    <cellStyle name="Moneda" xfId="12" builtinId="4"/>
    <cellStyle name="Moneda 2" xfId="2" xr:uid="{00000000-0005-0000-0000-000004000000}"/>
    <cellStyle name="Moneda 3" xfId="9" xr:uid="{A3A849DA-7FEE-4A3C-BB60-C234F3374596}"/>
    <cellStyle name="Normal" xfId="0" builtinId="0"/>
    <cellStyle name="Normal 2" xfId="1" xr:uid="{00000000-0005-0000-0000-000006000000}"/>
    <cellStyle name="Normal 3" xfId="11" xr:uid="{2326B76E-8B13-4C29-8618-1146412691DD}"/>
    <cellStyle name="Normal 7" xfId="10" xr:uid="{FCD847F7-DF0F-41D7-982C-32453F9024B2}"/>
    <cellStyle name="Numeric" xfId="6" xr:uid="{00000000-0005-0000-0000-000007000000}"/>
    <cellStyle name="Porcentaje" xfId="13" builtinId="5"/>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7D297C64-800F-4994-AFE4-C6959243F2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4CFEB8CE-F2AE-4938-8C00-4082C020A0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4" name="Imagen 3">
          <a:extLst>
            <a:ext uri="{FF2B5EF4-FFF2-40B4-BE49-F238E27FC236}">
              <a16:creationId xmlns:a16="http://schemas.microsoft.com/office/drawing/2014/main" id="{34AC75B7-9417-4528-B660-845F8135BB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5" name="Imagen 4">
          <a:extLst>
            <a:ext uri="{FF2B5EF4-FFF2-40B4-BE49-F238E27FC236}">
              <a16:creationId xmlns:a16="http://schemas.microsoft.com/office/drawing/2014/main" id="{899342A2-5E76-4BFD-902F-3E5326359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998CE4AA-9599-4EA8-ACD1-82F78D74B0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68885-254C-4402-BA92-8199377B5795}">
  <dimension ref="A1:AV104"/>
  <sheetViews>
    <sheetView tabSelected="1" topLeftCell="AB38" zoomScale="60" zoomScaleNormal="60" workbookViewId="0">
      <selection activeCell="AK42" sqref="AK42"/>
    </sheetView>
  </sheetViews>
  <sheetFormatPr baseColWidth="10" defaultColWidth="11.296875" defaultRowHeight="17.399999999999999"/>
  <cols>
    <col min="1" max="2" width="26.296875" style="1" customWidth="1"/>
    <col min="3" max="3" width="22.296875" style="1" customWidth="1"/>
    <col min="4" max="4" width="25.69921875" style="1" customWidth="1"/>
    <col min="5" max="5" width="26.59765625" style="1" customWidth="1"/>
    <col min="6" max="6" width="29.3984375" style="1" customWidth="1"/>
    <col min="7" max="7" width="23.69921875" style="1" customWidth="1"/>
    <col min="8" max="8" width="39" style="1" customWidth="1"/>
    <col min="9" max="9" width="16" style="1" customWidth="1"/>
    <col min="10" max="10" width="29" style="1" customWidth="1"/>
    <col min="11" max="11" width="34.59765625" style="4" customWidth="1"/>
    <col min="12" max="12" width="28.59765625" style="4" customWidth="1"/>
    <col min="13" max="13" width="11.09765625" style="4" customWidth="1"/>
    <col min="14" max="14" width="11" style="4" customWidth="1"/>
    <col min="15" max="15" width="26.59765625" style="4" customWidth="1"/>
    <col min="16" max="16" width="15.69921875" style="5" customWidth="1"/>
    <col min="17" max="17" width="19.796875" style="6" customWidth="1"/>
    <col min="18" max="18" width="19" style="1" customWidth="1"/>
    <col min="19" max="19" width="20.3984375" style="1" customWidth="1"/>
    <col min="20" max="20" width="21.8984375" style="1" customWidth="1"/>
    <col min="21" max="21" width="19.296875" style="1" customWidth="1"/>
    <col min="22" max="22" width="22.8984375" style="1" customWidth="1"/>
    <col min="23" max="23" width="21" style="1" customWidth="1"/>
    <col min="24" max="24" width="22.19921875" style="1" customWidth="1"/>
    <col min="25" max="25" width="22.8984375" style="1" customWidth="1"/>
    <col min="26" max="26" width="19" style="1" customWidth="1"/>
    <col min="27" max="27" width="246.69921875" style="1" customWidth="1"/>
    <col min="28" max="28" width="19.59765625" style="1" customWidth="1"/>
    <col min="29" max="29" width="21.09765625" style="1" customWidth="1"/>
    <col min="30" max="30" width="29.796875" style="1" customWidth="1"/>
    <col min="31" max="31" width="37.69921875" style="1" customWidth="1"/>
    <col min="32" max="32" width="41.8984375" style="1" customWidth="1"/>
    <col min="33" max="33" width="20.09765625" style="1" customWidth="1"/>
    <col min="34" max="34" width="14.59765625" style="1" customWidth="1"/>
    <col min="35" max="16384" width="11.296875" style="1"/>
  </cols>
  <sheetData>
    <row r="1" spans="1:48" ht="21" customHeight="1">
      <c r="A1" s="393"/>
      <c r="B1" s="393"/>
      <c r="C1" s="394" t="s">
        <v>0</v>
      </c>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6"/>
    </row>
    <row r="2" spans="1:48" ht="21" customHeight="1">
      <c r="A2" s="393"/>
      <c r="B2" s="393"/>
      <c r="C2" s="397" t="s">
        <v>1</v>
      </c>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row>
    <row r="3" spans="1:48" ht="21" customHeight="1">
      <c r="A3" s="393"/>
      <c r="B3" s="393"/>
      <c r="C3" s="397" t="s">
        <v>3</v>
      </c>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row>
    <row r="4" spans="1:48" ht="21" customHeight="1">
      <c r="A4" s="393"/>
      <c r="B4" s="393"/>
      <c r="C4" s="397" t="s">
        <v>79</v>
      </c>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row>
    <row r="5" spans="1:48" ht="26.25" customHeight="1">
      <c r="A5" s="389" t="s">
        <v>90</v>
      </c>
      <c r="B5" s="389"/>
      <c r="C5" s="390"/>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2"/>
    </row>
    <row r="6" spans="1:48" ht="39" customHeight="1">
      <c r="A6" s="398" t="s">
        <v>80</v>
      </c>
      <c r="B6" s="399"/>
      <c r="C6" s="399"/>
      <c r="D6" s="399"/>
      <c r="E6" s="399"/>
      <c r="F6" s="399"/>
      <c r="G6" s="399"/>
      <c r="H6" s="399"/>
      <c r="I6" s="399"/>
      <c r="J6" s="399"/>
      <c r="K6" s="399"/>
      <c r="L6" s="399"/>
      <c r="M6" s="399"/>
      <c r="N6" s="399"/>
      <c r="O6" s="399"/>
      <c r="P6" s="399"/>
      <c r="Q6" s="399"/>
      <c r="R6" s="399"/>
      <c r="S6" s="399"/>
      <c r="T6" s="399"/>
      <c r="U6" s="399"/>
      <c r="V6" s="399"/>
      <c r="W6" s="399"/>
      <c r="X6" s="399"/>
      <c r="Y6" s="399"/>
      <c r="Z6" s="399"/>
      <c r="AA6" s="399"/>
      <c r="AB6" s="399"/>
      <c r="AC6" s="399"/>
      <c r="AD6" s="400"/>
    </row>
    <row r="7" spans="1:48" s="3" customFormat="1" ht="102.75" customHeight="1">
      <c r="A7" s="401" t="s">
        <v>59</v>
      </c>
      <c r="B7" s="401" t="s">
        <v>85</v>
      </c>
      <c r="C7" s="401" t="s">
        <v>77</v>
      </c>
      <c r="D7" s="401" t="s">
        <v>23</v>
      </c>
      <c r="E7" s="401" t="s">
        <v>66</v>
      </c>
      <c r="F7" s="401" t="s">
        <v>6</v>
      </c>
      <c r="G7" s="401" t="s">
        <v>95</v>
      </c>
      <c r="H7" s="401" t="s">
        <v>26</v>
      </c>
      <c r="I7" s="401" t="s">
        <v>7</v>
      </c>
      <c r="J7" s="405" t="s">
        <v>76</v>
      </c>
      <c r="K7" s="401" t="s">
        <v>64</v>
      </c>
      <c r="L7" s="407" t="s">
        <v>63</v>
      </c>
      <c r="M7" s="409" t="s">
        <v>92</v>
      </c>
      <c r="N7" s="410"/>
      <c r="O7" s="401" t="s">
        <v>8</v>
      </c>
      <c r="P7" s="401" t="s">
        <v>24</v>
      </c>
      <c r="Q7" s="401" t="s">
        <v>25</v>
      </c>
      <c r="R7" s="411" t="s">
        <v>82</v>
      </c>
      <c r="S7" s="401" t="s">
        <v>655</v>
      </c>
      <c r="T7" s="413" t="s">
        <v>743</v>
      </c>
      <c r="U7" s="415" t="s">
        <v>641</v>
      </c>
      <c r="V7" s="403" t="s">
        <v>640</v>
      </c>
      <c r="W7" s="424" t="s">
        <v>679</v>
      </c>
      <c r="X7" s="424" t="s">
        <v>680</v>
      </c>
      <c r="Y7" s="415" t="s">
        <v>681</v>
      </c>
      <c r="Z7" s="415" t="s">
        <v>702</v>
      </c>
      <c r="AA7" s="426" t="s">
        <v>744</v>
      </c>
      <c r="AB7" s="401" t="s">
        <v>83</v>
      </c>
      <c r="AC7" s="401" t="s">
        <v>81</v>
      </c>
      <c r="AD7" s="428" t="s">
        <v>642</v>
      </c>
      <c r="AE7" s="428" t="s">
        <v>783</v>
      </c>
      <c r="AF7" s="429" t="s">
        <v>784</v>
      </c>
      <c r="AG7" s="429" t="s">
        <v>785</v>
      </c>
    </row>
    <row r="8" spans="1:48" s="3" customFormat="1" ht="3" customHeight="1">
      <c r="A8" s="402"/>
      <c r="B8" s="402"/>
      <c r="C8" s="402"/>
      <c r="D8" s="402"/>
      <c r="E8" s="402"/>
      <c r="F8" s="402"/>
      <c r="G8" s="402"/>
      <c r="H8" s="402"/>
      <c r="I8" s="402"/>
      <c r="J8" s="406"/>
      <c r="K8" s="402"/>
      <c r="L8" s="408"/>
      <c r="M8" s="135" t="s">
        <v>167</v>
      </c>
      <c r="N8" s="2" t="s">
        <v>168</v>
      </c>
      <c r="O8" s="402"/>
      <c r="P8" s="402"/>
      <c r="Q8" s="402"/>
      <c r="R8" s="412"/>
      <c r="S8" s="402"/>
      <c r="T8" s="414"/>
      <c r="U8" s="416"/>
      <c r="V8" s="404"/>
      <c r="W8" s="425"/>
      <c r="X8" s="425"/>
      <c r="Y8" s="416"/>
      <c r="Z8" s="416"/>
      <c r="AA8" s="427"/>
      <c r="AB8" s="402"/>
      <c r="AC8" s="402"/>
      <c r="AD8" s="428"/>
      <c r="AE8" s="428"/>
      <c r="AF8" s="429"/>
      <c r="AG8" s="429"/>
    </row>
    <row r="9" spans="1:48" s="3" customFormat="1" ht="127.2" customHeight="1">
      <c r="A9" s="214" t="s">
        <v>117</v>
      </c>
      <c r="B9" s="202" t="s">
        <v>269</v>
      </c>
      <c r="C9" s="214" t="s">
        <v>107</v>
      </c>
      <c r="D9" s="214" t="s">
        <v>108</v>
      </c>
      <c r="E9" s="23" t="s">
        <v>170</v>
      </c>
      <c r="F9" s="202" t="s">
        <v>109</v>
      </c>
      <c r="G9" s="204" t="s">
        <v>270</v>
      </c>
      <c r="H9" s="23" t="s">
        <v>147</v>
      </c>
      <c r="I9" s="213" t="s">
        <v>143</v>
      </c>
      <c r="J9" s="23" t="s">
        <v>527</v>
      </c>
      <c r="K9" s="22" t="s">
        <v>118</v>
      </c>
      <c r="L9" s="261">
        <v>0.25</v>
      </c>
      <c r="M9" s="213" t="s">
        <v>169</v>
      </c>
      <c r="N9" s="213"/>
      <c r="O9" s="23" t="s">
        <v>390</v>
      </c>
      <c r="P9" s="134">
        <v>12</v>
      </c>
      <c r="Q9" s="23">
        <v>3</v>
      </c>
      <c r="R9" s="26">
        <v>4</v>
      </c>
      <c r="S9" s="32">
        <v>0</v>
      </c>
      <c r="T9" s="81">
        <v>1</v>
      </c>
      <c r="U9" s="81">
        <f>1</f>
        <v>1</v>
      </c>
      <c r="V9" s="384">
        <f>(S9+T9)</f>
        <v>1</v>
      </c>
      <c r="W9" s="258">
        <f>(U9/R9)*L9</f>
        <v>6.25E-2</v>
      </c>
      <c r="X9" s="259">
        <f>V9/P9*L9</f>
        <v>2.0833333333333332E-2</v>
      </c>
      <c r="Y9" s="258">
        <f>+U9/R9</f>
        <v>0.25</v>
      </c>
      <c r="Z9" s="259">
        <f>+V9/P9</f>
        <v>8.3333333333333329E-2</v>
      </c>
      <c r="AA9" s="217" t="s">
        <v>760</v>
      </c>
      <c r="AB9" s="23">
        <v>3</v>
      </c>
      <c r="AC9" s="23">
        <v>3</v>
      </c>
      <c r="AD9" s="417">
        <v>16069279515</v>
      </c>
      <c r="AE9" s="417">
        <v>47422007562</v>
      </c>
      <c r="AF9" s="417">
        <v>45787021513</v>
      </c>
      <c r="AG9" s="420">
        <f>AF9/AE9</f>
        <v>0.9655226310935402</v>
      </c>
    </row>
    <row r="10" spans="1:48" s="3" customFormat="1" ht="346.2" customHeight="1">
      <c r="A10" s="215"/>
      <c r="B10" s="244"/>
      <c r="C10" s="215"/>
      <c r="D10" s="215"/>
      <c r="E10" s="23" t="s">
        <v>170</v>
      </c>
      <c r="F10" s="202" t="s">
        <v>109</v>
      </c>
      <c r="G10" s="204" t="s">
        <v>270</v>
      </c>
      <c r="H10" s="23" t="s">
        <v>148</v>
      </c>
      <c r="I10" s="213" t="s">
        <v>143</v>
      </c>
      <c r="J10" s="134" t="s">
        <v>528</v>
      </c>
      <c r="K10" s="23" t="s">
        <v>119</v>
      </c>
      <c r="L10" s="261">
        <v>0.25</v>
      </c>
      <c r="M10" s="213" t="s">
        <v>169</v>
      </c>
      <c r="N10" s="21"/>
      <c r="O10" s="23" t="s">
        <v>391</v>
      </c>
      <c r="P10" s="134">
        <v>1</v>
      </c>
      <c r="Q10" s="134">
        <v>0.5</v>
      </c>
      <c r="R10" s="26">
        <v>0.73</v>
      </c>
      <c r="S10" s="32">
        <v>0.27</v>
      </c>
      <c r="T10" s="81">
        <f>0.36+0.04</f>
        <v>0.39999999999999997</v>
      </c>
      <c r="U10" s="81">
        <f>T10</f>
        <v>0.39999999999999997</v>
      </c>
      <c r="V10" s="384">
        <f>(S10+U10)</f>
        <v>0.66999999999999993</v>
      </c>
      <c r="W10" s="260">
        <f>(U10/R10)*L10</f>
        <v>0.13698630136986301</v>
      </c>
      <c r="X10" s="259">
        <f>V10/P10*L10</f>
        <v>0.16749999999999998</v>
      </c>
      <c r="Y10" s="258">
        <f>+U10/R10</f>
        <v>0.54794520547945202</v>
      </c>
      <c r="Z10" s="259">
        <f>+V10/P10</f>
        <v>0.66999999999999993</v>
      </c>
      <c r="AA10" s="217" t="s">
        <v>742</v>
      </c>
      <c r="AB10" s="134">
        <v>0</v>
      </c>
      <c r="AC10" s="134">
        <v>0</v>
      </c>
      <c r="AD10" s="418"/>
      <c r="AE10" s="418"/>
      <c r="AF10" s="418"/>
      <c r="AG10" s="421"/>
    </row>
    <row r="11" spans="1:48" s="3" customFormat="1" ht="117.6">
      <c r="A11" s="215"/>
      <c r="B11" s="244"/>
      <c r="C11" s="215"/>
      <c r="D11" s="215"/>
      <c r="E11" s="23" t="s">
        <v>170</v>
      </c>
      <c r="F11" s="202" t="s">
        <v>109</v>
      </c>
      <c r="G11" s="204" t="s">
        <v>270</v>
      </c>
      <c r="H11" s="23" t="s">
        <v>149</v>
      </c>
      <c r="I11" s="213" t="s">
        <v>143</v>
      </c>
      <c r="J11" s="134" t="s">
        <v>529</v>
      </c>
      <c r="K11" s="23" t="s">
        <v>120</v>
      </c>
      <c r="L11" s="261">
        <v>0.25</v>
      </c>
      <c r="M11" s="213" t="s">
        <v>169</v>
      </c>
      <c r="N11" s="213"/>
      <c r="O11" s="23" t="s">
        <v>392</v>
      </c>
      <c r="P11" s="134">
        <v>16</v>
      </c>
      <c r="Q11" s="23">
        <v>4</v>
      </c>
      <c r="R11" s="26">
        <v>4</v>
      </c>
      <c r="S11" s="32">
        <v>2</v>
      </c>
      <c r="T11" s="81">
        <f>1+1+1</f>
        <v>3</v>
      </c>
      <c r="U11" s="81">
        <f>T11</f>
        <v>3</v>
      </c>
      <c r="V11" s="376">
        <f>(S11+U11)</f>
        <v>5</v>
      </c>
      <c r="W11" s="260">
        <f>(U11/R11)*L11</f>
        <v>0.1875</v>
      </c>
      <c r="X11" s="259">
        <f>V11/P11*L11</f>
        <v>7.8125E-2</v>
      </c>
      <c r="Y11" s="258">
        <f>+U11/R11</f>
        <v>0.75</v>
      </c>
      <c r="Z11" s="259">
        <f>+V11/P11</f>
        <v>0.3125</v>
      </c>
      <c r="AA11" s="361" t="s">
        <v>758</v>
      </c>
      <c r="AB11" s="23">
        <v>4</v>
      </c>
      <c r="AC11" s="23">
        <v>4</v>
      </c>
      <c r="AD11" s="418"/>
      <c r="AE11" s="418"/>
      <c r="AF11" s="418"/>
      <c r="AG11" s="422"/>
    </row>
    <row r="12" spans="1:48" s="3" customFormat="1" ht="409.6" customHeight="1">
      <c r="A12" s="251"/>
      <c r="B12" s="430"/>
      <c r="C12" s="431"/>
      <c r="D12" s="434"/>
      <c r="E12" s="252" t="s">
        <v>171</v>
      </c>
      <c r="F12" s="202" t="s">
        <v>109</v>
      </c>
      <c r="G12" s="204" t="s">
        <v>270</v>
      </c>
      <c r="H12" s="23" t="s">
        <v>150</v>
      </c>
      <c r="I12" s="213" t="s">
        <v>143</v>
      </c>
      <c r="J12" s="134" t="s">
        <v>537</v>
      </c>
      <c r="K12" s="134" t="s">
        <v>121</v>
      </c>
      <c r="L12" s="261">
        <v>0.25</v>
      </c>
      <c r="M12" s="213" t="s">
        <v>169</v>
      </c>
      <c r="N12" s="213"/>
      <c r="O12" s="23" t="s">
        <v>393</v>
      </c>
      <c r="P12" s="134">
        <v>300</v>
      </c>
      <c r="Q12" s="23">
        <v>8</v>
      </c>
      <c r="R12" s="26">
        <v>300</v>
      </c>
      <c r="S12" s="32">
        <v>368</v>
      </c>
      <c r="T12" s="81">
        <f>83+15+33+21+48+15+12+15</f>
        <v>242</v>
      </c>
      <c r="U12" s="81">
        <f>T12</f>
        <v>242</v>
      </c>
      <c r="V12" s="376">
        <f>(S12+U12)</f>
        <v>610</v>
      </c>
      <c r="W12" s="260">
        <f>(U12/R12)*L12</f>
        <v>0.20166666666666666</v>
      </c>
      <c r="X12" s="259">
        <f>V12/P12*L12</f>
        <v>0.5083333333333333</v>
      </c>
      <c r="Y12" s="258">
        <f>+U12/R12</f>
        <v>0.80666666666666664</v>
      </c>
      <c r="Z12" s="259">
        <f>300/R12</f>
        <v>1</v>
      </c>
      <c r="AA12" s="361" t="s">
        <v>759</v>
      </c>
      <c r="AB12" s="23">
        <v>8</v>
      </c>
      <c r="AC12" s="23">
        <v>8</v>
      </c>
      <c r="AD12" s="419"/>
      <c r="AE12" s="419"/>
      <c r="AF12" s="419"/>
      <c r="AG12" s="423"/>
    </row>
    <row r="13" spans="1:48" s="236" customFormat="1" ht="102" customHeight="1">
      <c r="A13" s="251"/>
      <c r="B13" s="430"/>
      <c r="C13" s="432"/>
      <c r="D13" s="434"/>
      <c r="E13" s="435" t="s">
        <v>643</v>
      </c>
      <c r="F13" s="435"/>
      <c r="G13" s="435"/>
      <c r="H13" s="435"/>
      <c r="I13" s="435"/>
      <c r="J13" s="435"/>
      <c r="K13" s="435"/>
      <c r="L13" s="435"/>
      <c r="M13" s="435"/>
      <c r="N13" s="435"/>
      <c r="O13" s="435"/>
      <c r="P13" s="435"/>
      <c r="Q13" s="435"/>
      <c r="R13" s="435"/>
      <c r="S13" s="435"/>
      <c r="T13" s="436"/>
      <c r="U13" s="235"/>
      <c r="V13" s="263"/>
      <c r="W13" s="266">
        <f>SUM(W9:W12)</f>
        <v>0.58865296803652967</v>
      </c>
      <c r="X13" s="266">
        <f>SUM(X9:X12)</f>
        <v>0.77479166666666666</v>
      </c>
      <c r="Y13" s="266">
        <f>AVERAGE(Y9:Y12)</f>
        <v>0.58865296803652967</v>
      </c>
      <c r="Z13" s="266">
        <f>AVERAGE(Z9:Z12)</f>
        <v>0.51645833333333335</v>
      </c>
      <c r="AA13" s="255"/>
      <c r="AB13" s="223"/>
      <c r="AC13" s="223"/>
      <c r="AD13" s="226"/>
      <c r="AE13" s="226"/>
      <c r="AF13" s="226"/>
      <c r="AG13" s="227"/>
    </row>
    <row r="14" spans="1:48" s="3" customFormat="1" ht="108" customHeight="1">
      <c r="A14" s="251"/>
      <c r="B14" s="430"/>
      <c r="C14" s="432"/>
      <c r="D14" s="434"/>
      <c r="E14" s="252" t="s">
        <v>172</v>
      </c>
      <c r="F14" s="202" t="s">
        <v>110</v>
      </c>
      <c r="G14" s="204" t="s">
        <v>272</v>
      </c>
      <c r="H14" s="23" t="s">
        <v>151</v>
      </c>
      <c r="I14" s="213" t="s">
        <v>143</v>
      </c>
      <c r="J14" s="205" t="s">
        <v>538</v>
      </c>
      <c r="K14" s="134" t="s">
        <v>122</v>
      </c>
      <c r="L14" s="261">
        <v>0.5</v>
      </c>
      <c r="M14" s="213"/>
      <c r="N14" s="213" t="s">
        <v>169</v>
      </c>
      <c r="O14" s="23" t="s">
        <v>394</v>
      </c>
      <c r="P14" s="134">
        <v>1132</v>
      </c>
      <c r="Q14" s="23">
        <v>385</v>
      </c>
      <c r="R14" s="26">
        <v>367</v>
      </c>
      <c r="S14" s="32">
        <v>17</v>
      </c>
      <c r="T14" s="77">
        <f>8+200+1+5+14+6+2</f>
        <v>236</v>
      </c>
      <c r="U14" s="77">
        <f>T14</f>
        <v>236</v>
      </c>
      <c r="V14" s="77">
        <f>(S14+U14)</f>
        <v>253</v>
      </c>
      <c r="W14" s="260">
        <f>(U14/R14)*L14</f>
        <v>0.32152588555858308</v>
      </c>
      <c r="X14" s="259">
        <f>V14/P14*L14</f>
        <v>0.11174911660777385</v>
      </c>
      <c r="Y14" s="258">
        <f>+U14/R14</f>
        <v>0.64305177111716616</v>
      </c>
      <c r="Z14" s="259">
        <f>+V14/P14</f>
        <v>0.22349823321554771</v>
      </c>
      <c r="AA14" s="217" t="s">
        <v>752</v>
      </c>
      <c r="AB14" s="23">
        <v>360</v>
      </c>
      <c r="AC14" s="23">
        <v>360</v>
      </c>
      <c r="AD14" s="437">
        <v>2749532737</v>
      </c>
      <c r="AE14" s="442">
        <v>3549772306</v>
      </c>
      <c r="AF14" s="437">
        <v>3441224880</v>
      </c>
      <c r="AG14" s="440">
        <f>AF14/AE14</f>
        <v>0.96942129898964846</v>
      </c>
    </row>
    <row r="15" spans="1:48" s="3" customFormat="1" ht="176.4" customHeight="1">
      <c r="A15" s="251"/>
      <c r="B15" s="430"/>
      <c r="C15" s="432"/>
      <c r="D15" s="434"/>
      <c r="E15" s="253" t="s">
        <v>172</v>
      </c>
      <c r="F15" s="202" t="s">
        <v>110</v>
      </c>
      <c r="G15" s="250" t="s">
        <v>272</v>
      </c>
      <c r="H15" s="218" t="s">
        <v>152</v>
      </c>
      <c r="I15" s="214" t="s">
        <v>143</v>
      </c>
      <c r="J15" s="202" t="s">
        <v>539</v>
      </c>
      <c r="K15" s="202" t="s">
        <v>123</v>
      </c>
      <c r="L15" s="262">
        <v>0.5</v>
      </c>
      <c r="M15" s="214"/>
      <c r="N15" s="214" t="s">
        <v>169</v>
      </c>
      <c r="O15" s="218" t="s">
        <v>395</v>
      </c>
      <c r="P15" s="202">
        <v>320</v>
      </c>
      <c r="Q15" s="218">
        <v>100</v>
      </c>
      <c r="R15" s="221">
        <v>100</v>
      </c>
      <c r="S15" s="267">
        <v>19</v>
      </c>
      <c r="T15" s="375">
        <f>16+11+5+2+12+4+2</f>
        <v>52</v>
      </c>
      <c r="U15" s="375">
        <f>T15</f>
        <v>52</v>
      </c>
      <c r="V15" s="77">
        <f>(S15+U15)</f>
        <v>71</v>
      </c>
      <c r="W15" s="260">
        <f>(U15/R15)*L15</f>
        <v>0.26</v>
      </c>
      <c r="X15" s="259">
        <f>V15/P15*L15</f>
        <v>0.11093749999999999</v>
      </c>
      <c r="Y15" s="258">
        <f>+U15/R15</f>
        <v>0.52</v>
      </c>
      <c r="Z15" s="259">
        <f>+V15/P15</f>
        <v>0.22187499999999999</v>
      </c>
      <c r="AA15" s="217" t="s">
        <v>751</v>
      </c>
      <c r="AB15" s="23">
        <v>105</v>
      </c>
      <c r="AC15" s="23">
        <v>105</v>
      </c>
      <c r="AD15" s="438"/>
      <c r="AE15" s="442"/>
      <c r="AF15" s="438"/>
      <c r="AG15" s="441"/>
    </row>
    <row r="16" spans="1:48" s="247" customFormat="1" ht="81" customHeight="1">
      <c r="A16" s="248" t="s">
        <v>644</v>
      </c>
      <c r="B16" s="430"/>
      <c r="C16" s="432"/>
      <c r="D16" s="434"/>
      <c r="E16" s="435" t="s">
        <v>644</v>
      </c>
      <c r="F16" s="435"/>
      <c r="G16" s="435"/>
      <c r="H16" s="435"/>
      <c r="I16" s="435"/>
      <c r="J16" s="435"/>
      <c r="K16" s="435"/>
      <c r="L16" s="435"/>
      <c r="M16" s="435"/>
      <c r="N16" s="435"/>
      <c r="O16" s="435"/>
      <c r="P16" s="435"/>
      <c r="Q16" s="435"/>
      <c r="R16" s="435"/>
      <c r="S16" s="435"/>
      <c r="T16" s="436"/>
      <c r="U16" s="239"/>
      <c r="V16" s="239"/>
      <c r="W16" s="371">
        <f>SUM(W14:W15)</f>
        <v>0.58152588555858309</v>
      </c>
      <c r="X16" s="371">
        <f>SUM(X14:X15)</f>
        <v>0.22268661660777384</v>
      </c>
      <c r="Y16" s="371">
        <f>AVERAGE(Y14:Y15)</f>
        <v>0.58152588555858309</v>
      </c>
      <c r="Z16" s="371">
        <f>AVERAGE(Z14:Z15)</f>
        <v>0.22268661660777384</v>
      </c>
      <c r="AA16" s="254"/>
      <c r="AB16" s="239"/>
      <c r="AC16" s="239"/>
      <c r="AD16" s="231"/>
      <c r="AE16" s="239"/>
      <c r="AF16" s="231"/>
      <c r="AG16" s="232"/>
      <c r="AH16" s="249"/>
      <c r="AI16" s="249"/>
      <c r="AJ16" s="249"/>
      <c r="AK16" s="249"/>
      <c r="AL16" s="249"/>
      <c r="AM16" s="249"/>
      <c r="AN16" s="249"/>
      <c r="AO16" s="249"/>
      <c r="AP16" s="249"/>
      <c r="AQ16" s="249"/>
      <c r="AR16" s="249"/>
      <c r="AS16" s="249"/>
      <c r="AT16" s="249"/>
      <c r="AU16" s="249"/>
      <c r="AV16" s="249"/>
    </row>
    <row r="17" spans="1:33" s="3" customFormat="1" ht="290.39999999999998" customHeight="1">
      <c r="A17" s="251"/>
      <c r="B17" s="430"/>
      <c r="C17" s="432"/>
      <c r="D17" s="434"/>
      <c r="E17" s="252" t="s">
        <v>173</v>
      </c>
      <c r="F17" s="134" t="s">
        <v>111</v>
      </c>
      <c r="G17" s="204" t="s">
        <v>273</v>
      </c>
      <c r="H17" s="23" t="s">
        <v>153</v>
      </c>
      <c r="I17" s="213" t="s">
        <v>143</v>
      </c>
      <c r="J17" s="205" t="s">
        <v>530</v>
      </c>
      <c r="K17" s="134" t="s">
        <v>124</v>
      </c>
      <c r="L17" s="261">
        <v>0.7</v>
      </c>
      <c r="M17" s="213" t="s">
        <v>169</v>
      </c>
      <c r="N17" s="213"/>
      <c r="O17" s="23" t="s">
        <v>396</v>
      </c>
      <c r="P17" s="134">
        <v>21500</v>
      </c>
      <c r="Q17" s="23">
        <v>5400</v>
      </c>
      <c r="R17" s="26">
        <v>5400</v>
      </c>
      <c r="S17" s="32">
        <v>7187</v>
      </c>
      <c r="T17" s="77">
        <f>300+682+294+362+205+152+215+67</f>
        <v>2277</v>
      </c>
      <c r="U17" s="77">
        <f>T17</f>
        <v>2277</v>
      </c>
      <c r="V17" s="77">
        <f>(S17+U17)</f>
        <v>9464</v>
      </c>
      <c r="W17" s="260">
        <f>(U17/R17)*L17</f>
        <v>0.29516666666666669</v>
      </c>
      <c r="X17" s="259">
        <f>V17/P17*L17</f>
        <v>0.30813023255813954</v>
      </c>
      <c r="Y17" s="258">
        <f>+U17/R17</f>
        <v>0.42166666666666669</v>
      </c>
      <c r="Z17" s="259">
        <f>+V17/P17</f>
        <v>0.4401860465116279</v>
      </c>
      <c r="AA17" s="217" t="s">
        <v>757</v>
      </c>
      <c r="AB17" s="23">
        <v>5500</v>
      </c>
      <c r="AC17" s="23">
        <v>5500</v>
      </c>
      <c r="AD17" s="417">
        <v>844891147</v>
      </c>
      <c r="AE17" s="417">
        <v>617558349</v>
      </c>
      <c r="AF17" s="417">
        <v>300783673</v>
      </c>
      <c r="AG17" s="440">
        <f>AF17/AE17</f>
        <v>0.48705304282105982</v>
      </c>
    </row>
    <row r="18" spans="1:33" s="3" customFormat="1" ht="227.4" customHeight="1">
      <c r="A18" s="251"/>
      <c r="B18" s="430"/>
      <c r="C18" s="432"/>
      <c r="D18" s="434"/>
      <c r="E18" s="252" t="s">
        <v>173</v>
      </c>
      <c r="F18" s="134" t="s">
        <v>111</v>
      </c>
      <c r="G18" s="204" t="s">
        <v>273</v>
      </c>
      <c r="H18" s="23" t="s">
        <v>154</v>
      </c>
      <c r="I18" s="213" t="s">
        <v>143</v>
      </c>
      <c r="J18" s="134" t="s">
        <v>540</v>
      </c>
      <c r="K18" s="134" t="s">
        <v>125</v>
      </c>
      <c r="L18" s="261">
        <v>0.3</v>
      </c>
      <c r="M18" s="213" t="s">
        <v>169</v>
      </c>
      <c r="N18" s="213"/>
      <c r="O18" s="23" t="s">
        <v>397</v>
      </c>
      <c r="P18" s="134">
        <v>12</v>
      </c>
      <c r="Q18" s="23">
        <v>3</v>
      </c>
      <c r="R18" s="26">
        <v>3</v>
      </c>
      <c r="S18" s="32">
        <v>4</v>
      </c>
      <c r="T18" s="77">
        <f>1+0.5+0.2+0.1+0.2</f>
        <v>2</v>
      </c>
      <c r="U18" s="77">
        <f>T18</f>
        <v>2</v>
      </c>
      <c r="V18" s="77">
        <f>(S18+U18)</f>
        <v>6</v>
      </c>
      <c r="W18" s="260">
        <f>(U18/R18)*L18</f>
        <v>0.19999999999999998</v>
      </c>
      <c r="X18" s="259">
        <f>V18/P18*L18</f>
        <v>0.15</v>
      </c>
      <c r="Y18" s="258">
        <f>+U18/R18</f>
        <v>0.66666666666666663</v>
      </c>
      <c r="Z18" s="259">
        <f>+V18/P18</f>
        <v>0.5</v>
      </c>
      <c r="AA18" s="217" t="s">
        <v>755</v>
      </c>
      <c r="AB18" s="23">
        <v>3</v>
      </c>
      <c r="AC18" s="23">
        <v>3</v>
      </c>
      <c r="AD18" s="419"/>
      <c r="AE18" s="419"/>
      <c r="AF18" s="419"/>
      <c r="AG18" s="441"/>
    </row>
    <row r="19" spans="1:33" s="236" customFormat="1" ht="45.75" customHeight="1">
      <c r="A19" s="233" t="s">
        <v>645</v>
      </c>
      <c r="B19" s="234"/>
      <c r="C19" s="433"/>
      <c r="D19" s="434"/>
      <c r="E19" s="439" t="s">
        <v>645</v>
      </c>
      <c r="F19" s="435"/>
      <c r="G19" s="435"/>
      <c r="H19" s="435"/>
      <c r="I19" s="435"/>
      <c r="J19" s="435"/>
      <c r="K19" s="435"/>
      <c r="L19" s="435"/>
      <c r="M19" s="435"/>
      <c r="N19" s="435"/>
      <c r="O19" s="435"/>
      <c r="P19" s="435"/>
      <c r="Q19" s="435"/>
      <c r="R19" s="435"/>
      <c r="S19" s="435"/>
      <c r="T19" s="435"/>
      <c r="U19" s="240"/>
      <c r="V19" s="264"/>
      <c r="W19" s="266">
        <f>SUM(W17:W18)</f>
        <v>0.49516666666666664</v>
      </c>
      <c r="X19" s="266">
        <f>SUM(X17:X18)</f>
        <v>0.45813023255813956</v>
      </c>
      <c r="Y19" s="266">
        <f>AVERAGE(Y17:Y18)</f>
        <v>0.54416666666666669</v>
      </c>
      <c r="Z19" s="266">
        <f>AVERAGE(Z17:Z18)</f>
        <v>0.47009302325581392</v>
      </c>
      <c r="AA19" s="255"/>
      <c r="AB19" s="223"/>
      <c r="AC19" s="223"/>
      <c r="AD19" s="226"/>
      <c r="AE19" s="226"/>
      <c r="AF19" s="226"/>
      <c r="AG19" s="227"/>
    </row>
    <row r="20" spans="1:33" s="3" customFormat="1" ht="117" customHeight="1">
      <c r="A20" s="215"/>
      <c r="B20" s="244"/>
      <c r="C20" s="215"/>
      <c r="D20" s="215"/>
      <c r="E20" s="23" t="s">
        <v>172</v>
      </c>
      <c r="F20" s="202" t="s">
        <v>112</v>
      </c>
      <c r="G20" s="204" t="s">
        <v>276</v>
      </c>
      <c r="H20" s="23" t="s">
        <v>155</v>
      </c>
      <c r="I20" s="213" t="s">
        <v>143</v>
      </c>
      <c r="J20" s="205" t="s">
        <v>531</v>
      </c>
      <c r="K20" s="134" t="s">
        <v>126</v>
      </c>
      <c r="L20" s="261">
        <v>0.4</v>
      </c>
      <c r="M20" s="213"/>
      <c r="N20" s="213" t="s">
        <v>169</v>
      </c>
      <c r="O20" s="23" t="s">
        <v>398</v>
      </c>
      <c r="P20" s="134">
        <v>26800</v>
      </c>
      <c r="Q20" s="23">
        <v>6700</v>
      </c>
      <c r="R20" s="26">
        <v>6700</v>
      </c>
      <c r="S20" s="32">
        <v>6762</v>
      </c>
      <c r="T20" s="77">
        <f>1239+4537+659</f>
        <v>6435</v>
      </c>
      <c r="U20" s="77">
        <f>T20</f>
        <v>6435</v>
      </c>
      <c r="V20" s="77">
        <f>(S20+U20)</f>
        <v>13197</v>
      </c>
      <c r="W20" s="260">
        <f>(U20/R20)*L20</f>
        <v>0.38417910447761194</v>
      </c>
      <c r="X20" s="259">
        <f t="shared" ref="X20:X25" si="0">V20/P20*L20</f>
        <v>0.19697014925373135</v>
      </c>
      <c r="Y20" s="258">
        <f>+U20/R20</f>
        <v>0.96044776119402986</v>
      </c>
      <c r="Z20" s="259">
        <f t="shared" ref="Z20:Z25" si="1">+V20/P20</f>
        <v>0.49242537313432838</v>
      </c>
      <c r="AA20" s="222" t="s">
        <v>747</v>
      </c>
      <c r="AB20" s="23">
        <v>6700</v>
      </c>
      <c r="AC20" s="23">
        <v>6700</v>
      </c>
      <c r="AD20" s="445">
        <v>4532675119</v>
      </c>
      <c r="AE20" s="445">
        <v>8250277366</v>
      </c>
      <c r="AF20" s="445">
        <v>3570272086</v>
      </c>
      <c r="AG20" s="446">
        <f>AF20/AE20</f>
        <v>0.43274570388546618</v>
      </c>
    </row>
    <row r="21" spans="1:33" s="3" customFormat="1" ht="132" customHeight="1">
      <c r="A21" s="215"/>
      <c r="B21" s="244"/>
      <c r="C21" s="215"/>
      <c r="D21" s="215"/>
      <c r="E21" s="447" t="s">
        <v>172</v>
      </c>
      <c r="F21" s="449" t="s">
        <v>112</v>
      </c>
      <c r="G21" s="451" t="s">
        <v>276</v>
      </c>
      <c r="H21" s="134" t="s">
        <v>156</v>
      </c>
      <c r="I21" s="213" t="s">
        <v>143</v>
      </c>
      <c r="J21" s="362" t="s">
        <v>541</v>
      </c>
      <c r="K21" s="134" t="s">
        <v>703</v>
      </c>
      <c r="L21" s="261">
        <v>0.05</v>
      </c>
      <c r="M21" s="452"/>
      <c r="N21" s="213" t="s">
        <v>169</v>
      </c>
      <c r="O21" s="134" t="s">
        <v>399</v>
      </c>
      <c r="P21" s="213">
        <v>55</v>
      </c>
      <c r="Q21" s="134">
        <v>55</v>
      </c>
      <c r="R21" s="26">
        <v>55</v>
      </c>
      <c r="S21" s="267">
        <v>55</v>
      </c>
      <c r="T21" s="374">
        <f>S21</f>
        <v>55</v>
      </c>
      <c r="U21" s="77">
        <f>T21</f>
        <v>55</v>
      </c>
      <c r="V21" s="77">
        <v>55</v>
      </c>
      <c r="W21" s="260">
        <f>(U21/R21)*L21</f>
        <v>0.05</v>
      </c>
      <c r="X21" s="259">
        <f t="shared" si="0"/>
        <v>0.05</v>
      </c>
      <c r="Y21" s="260">
        <f>+U21/R21</f>
        <v>1</v>
      </c>
      <c r="Z21" s="259">
        <f t="shared" si="1"/>
        <v>1</v>
      </c>
      <c r="AA21" s="222" t="s">
        <v>756</v>
      </c>
      <c r="AB21" s="134">
        <v>55</v>
      </c>
      <c r="AC21" s="134">
        <v>55</v>
      </c>
      <c r="AD21" s="445"/>
      <c r="AE21" s="445"/>
      <c r="AF21" s="445"/>
      <c r="AG21" s="446"/>
    </row>
    <row r="22" spans="1:33" s="236" customFormat="1" ht="124.8" customHeight="1">
      <c r="A22" s="215"/>
      <c r="B22" s="244"/>
      <c r="C22" s="215"/>
      <c r="D22" s="215"/>
      <c r="E22" s="448"/>
      <c r="F22" s="450"/>
      <c r="G22" s="451"/>
      <c r="H22" s="134" t="s">
        <v>156</v>
      </c>
      <c r="I22" s="213" t="s">
        <v>143</v>
      </c>
      <c r="J22" s="362" t="s">
        <v>541</v>
      </c>
      <c r="K22" s="134" t="s">
        <v>740</v>
      </c>
      <c r="L22" s="261">
        <v>0.05</v>
      </c>
      <c r="M22" s="453"/>
      <c r="N22" s="213" t="s">
        <v>704</v>
      </c>
      <c r="O22" s="134" t="s">
        <v>399</v>
      </c>
      <c r="P22" s="213">
        <v>6</v>
      </c>
      <c r="Q22" s="363">
        <v>2</v>
      </c>
      <c r="R22" s="26">
        <v>2</v>
      </c>
      <c r="S22" s="32">
        <v>4</v>
      </c>
      <c r="T22" s="26">
        <f>S22</f>
        <v>4</v>
      </c>
      <c r="U22" s="385">
        <f>T22</f>
        <v>4</v>
      </c>
      <c r="V22" s="386">
        <v>4</v>
      </c>
      <c r="W22" s="387">
        <f>(2/R22)*L22</f>
        <v>0.05</v>
      </c>
      <c r="X22" s="388">
        <f t="shared" si="0"/>
        <v>3.3333333333333333E-2</v>
      </c>
      <c r="Y22" s="387">
        <f>2/R22</f>
        <v>1</v>
      </c>
      <c r="Z22" s="388">
        <f t="shared" si="1"/>
        <v>0.66666666666666663</v>
      </c>
      <c r="AA22" s="222" t="s">
        <v>779</v>
      </c>
      <c r="AB22" s="245">
        <v>2</v>
      </c>
      <c r="AC22" s="245">
        <v>2</v>
      </c>
      <c r="AD22" s="445"/>
      <c r="AE22" s="445"/>
      <c r="AF22" s="445"/>
      <c r="AG22" s="446"/>
    </row>
    <row r="23" spans="1:33" s="3" customFormat="1" ht="79.2" customHeight="1">
      <c r="A23" s="215"/>
      <c r="B23" s="244"/>
      <c r="C23" s="215"/>
      <c r="D23" s="215"/>
      <c r="E23" s="23" t="s">
        <v>172</v>
      </c>
      <c r="F23" s="202" t="s">
        <v>112</v>
      </c>
      <c r="G23" s="204" t="s">
        <v>276</v>
      </c>
      <c r="H23" s="23" t="s">
        <v>157</v>
      </c>
      <c r="I23" s="213" t="s">
        <v>143</v>
      </c>
      <c r="J23" s="213" t="s">
        <v>142</v>
      </c>
      <c r="K23" s="134" t="s">
        <v>128</v>
      </c>
      <c r="L23" s="261">
        <v>0.15</v>
      </c>
      <c r="M23" s="213"/>
      <c r="N23" s="213" t="s">
        <v>169</v>
      </c>
      <c r="O23" s="23" t="s">
        <v>620</v>
      </c>
      <c r="P23" s="134">
        <v>4</v>
      </c>
      <c r="Q23" s="23">
        <v>2</v>
      </c>
      <c r="R23" s="26">
        <v>2</v>
      </c>
      <c r="S23" s="32">
        <v>0</v>
      </c>
      <c r="T23" s="26">
        <v>4</v>
      </c>
      <c r="U23" s="26">
        <f>T23</f>
        <v>4</v>
      </c>
      <c r="V23" s="26">
        <v>4</v>
      </c>
      <c r="W23" s="387">
        <f>(2/R23)*L23</f>
        <v>0.15</v>
      </c>
      <c r="X23" s="388">
        <f t="shared" si="0"/>
        <v>0.15</v>
      </c>
      <c r="Y23" s="387">
        <v>1</v>
      </c>
      <c r="Z23" s="388">
        <f t="shared" si="1"/>
        <v>1</v>
      </c>
      <c r="AA23" s="217" t="s">
        <v>780</v>
      </c>
      <c r="AB23" s="23">
        <v>1</v>
      </c>
      <c r="AC23" s="23">
        <v>1</v>
      </c>
      <c r="AD23" s="454">
        <v>565956339</v>
      </c>
      <c r="AE23" s="437">
        <v>675760281</v>
      </c>
      <c r="AF23" s="437">
        <v>507908750</v>
      </c>
      <c r="AG23" s="440">
        <f>AF23/AE23</f>
        <v>0.75161083638770421</v>
      </c>
    </row>
    <row r="24" spans="1:33" s="3" customFormat="1" ht="150" customHeight="1">
      <c r="A24" s="215"/>
      <c r="B24" s="244"/>
      <c r="C24" s="215"/>
      <c r="D24" s="215"/>
      <c r="E24" s="23" t="s">
        <v>172</v>
      </c>
      <c r="F24" s="202" t="s">
        <v>112</v>
      </c>
      <c r="G24" s="204" t="s">
        <v>276</v>
      </c>
      <c r="H24" s="23" t="s">
        <v>158</v>
      </c>
      <c r="I24" s="213" t="s">
        <v>143</v>
      </c>
      <c r="J24" s="205" t="s">
        <v>542</v>
      </c>
      <c r="K24" s="134" t="s">
        <v>129</v>
      </c>
      <c r="L24" s="261">
        <v>0.25</v>
      </c>
      <c r="M24" s="213"/>
      <c r="N24" s="213" t="s">
        <v>169</v>
      </c>
      <c r="O24" s="23" t="s">
        <v>401</v>
      </c>
      <c r="P24" s="134">
        <v>28000</v>
      </c>
      <c r="Q24" s="23">
        <v>7000</v>
      </c>
      <c r="R24" s="26">
        <v>7000</v>
      </c>
      <c r="S24" s="32">
        <v>7166</v>
      </c>
      <c r="T24" s="77">
        <f>429+8093+1214</f>
        <v>9736</v>
      </c>
      <c r="U24" s="77">
        <f>T24</f>
        <v>9736</v>
      </c>
      <c r="V24" s="77">
        <f t="shared" ref="V24:V38" si="2">(S24+U24)</f>
        <v>16902</v>
      </c>
      <c r="W24" s="260">
        <f>(7000/R24)*L24</f>
        <v>0.25</v>
      </c>
      <c r="X24" s="259">
        <f t="shared" si="0"/>
        <v>0.15091071428571429</v>
      </c>
      <c r="Y24" s="258">
        <f>7000/R24</f>
        <v>1</v>
      </c>
      <c r="Z24" s="259">
        <f t="shared" si="1"/>
        <v>0.60364285714285715</v>
      </c>
      <c r="AA24" s="217" t="s">
        <v>748</v>
      </c>
      <c r="AB24" s="23">
        <v>7000</v>
      </c>
      <c r="AC24" s="23">
        <v>7000</v>
      </c>
      <c r="AD24" s="454"/>
      <c r="AE24" s="454"/>
      <c r="AF24" s="454"/>
      <c r="AG24" s="455"/>
    </row>
    <row r="25" spans="1:33" s="3" customFormat="1" ht="117" customHeight="1">
      <c r="A25" s="215"/>
      <c r="B25" s="244"/>
      <c r="C25" s="215"/>
      <c r="D25" s="215"/>
      <c r="E25" s="23" t="s">
        <v>172</v>
      </c>
      <c r="F25" s="202" t="s">
        <v>112</v>
      </c>
      <c r="G25" s="204" t="s">
        <v>276</v>
      </c>
      <c r="H25" s="23" t="s">
        <v>159</v>
      </c>
      <c r="I25" s="213" t="s">
        <v>143</v>
      </c>
      <c r="J25" s="134" t="s">
        <v>532</v>
      </c>
      <c r="K25" s="134" t="s">
        <v>130</v>
      </c>
      <c r="L25" s="261">
        <v>0.1</v>
      </c>
      <c r="M25" s="213"/>
      <c r="N25" s="213" t="s">
        <v>169</v>
      </c>
      <c r="O25" s="23" t="s">
        <v>400</v>
      </c>
      <c r="P25" s="134">
        <v>200</v>
      </c>
      <c r="Q25" s="23">
        <v>10</v>
      </c>
      <c r="R25" s="26">
        <v>10</v>
      </c>
      <c r="S25" s="32">
        <v>140</v>
      </c>
      <c r="T25" s="77">
        <v>171</v>
      </c>
      <c r="U25" s="77">
        <v>31</v>
      </c>
      <c r="V25" s="77">
        <f t="shared" si="2"/>
        <v>171</v>
      </c>
      <c r="W25" s="260">
        <f>(10/R25)*L25</f>
        <v>0.1</v>
      </c>
      <c r="X25" s="259">
        <f t="shared" si="0"/>
        <v>8.5500000000000007E-2</v>
      </c>
      <c r="Y25" s="260">
        <f>10/R25</f>
        <v>1</v>
      </c>
      <c r="Z25" s="259">
        <f t="shared" si="1"/>
        <v>0.85499999999999998</v>
      </c>
      <c r="AA25" s="217" t="s">
        <v>749</v>
      </c>
      <c r="AB25" s="23">
        <v>8</v>
      </c>
      <c r="AC25" s="23">
        <v>8</v>
      </c>
      <c r="AD25" s="438"/>
      <c r="AE25" s="438"/>
      <c r="AF25" s="438"/>
      <c r="AG25" s="441"/>
    </row>
    <row r="26" spans="1:33" s="3" customFormat="1" ht="117" customHeight="1">
      <c r="A26" s="215"/>
      <c r="B26" s="244"/>
      <c r="C26" s="215"/>
      <c r="D26" s="215"/>
      <c r="E26" s="456" t="s">
        <v>646</v>
      </c>
      <c r="F26" s="457"/>
      <c r="G26" s="457"/>
      <c r="H26" s="457"/>
      <c r="I26" s="457"/>
      <c r="J26" s="457"/>
      <c r="K26" s="457"/>
      <c r="L26" s="457"/>
      <c r="M26" s="457"/>
      <c r="N26" s="457"/>
      <c r="O26" s="457"/>
      <c r="P26" s="457"/>
      <c r="Q26" s="457"/>
      <c r="R26" s="457"/>
      <c r="S26" s="457"/>
      <c r="T26" s="458"/>
      <c r="U26" s="134"/>
      <c r="V26" s="134"/>
      <c r="W26" s="266">
        <f>SUM(W20:W25)</f>
        <v>0.98417910447761192</v>
      </c>
      <c r="X26" s="371">
        <f>SUM(X20:X25)</f>
        <v>0.66671419687277889</v>
      </c>
      <c r="Y26" s="266">
        <f>AVERAGE(Y20:Y25)</f>
        <v>0.99340796019900501</v>
      </c>
      <c r="Z26" s="371">
        <f>AVERAGE(Z20:Z25)</f>
        <v>0.7696224828239755</v>
      </c>
      <c r="AA26" s="26"/>
      <c r="AB26" s="23"/>
      <c r="AC26" s="23"/>
      <c r="AD26" s="224"/>
      <c r="AE26" s="224"/>
      <c r="AF26" s="224"/>
      <c r="AG26" s="225"/>
    </row>
    <row r="27" spans="1:33" s="3" customFormat="1" ht="286.8" customHeight="1">
      <c r="A27" s="215"/>
      <c r="B27" s="244"/>
      <c r="C27" s="215"/>
      <c r="D27" s="215"/>
      <c r="E27" s="23" t="s">
        <v>172</v>
      </c>
      <c r="F27" s="134" t="s">
        <v>113</v>
      </c>
      <c r="G27" s="204" t="s">
        <v>277</v>
      </c>
      <c r="H27" s="23" t="s">
        <v>160</v>
      </c>
      <c r="I27" s="213" t="s">
        <v>143</v>
      </c>
      <c r="J27" s="205" t="s">
        <v>533</v>
      </c>
      <c r="K27" s="134" t="s">
        <v>131</v>
      </c>
      <c r="L27" s="261">
        <v>1</v>
      </c>
      <c r="M27" s="213"/>
      <c r="N27" s="213" t="s">
        <v>169</v>
      </c>
      <c r="O27" s="23" t="s">
        <v>401</v>
      </c>
      <c r="P27" s="205">
        <v>61000</v>
      </c>
      <c r="Q27" s="23">
        <v>15250</v>
      </c>
      <c r="R27" s="26">
        <v>15250</v>
      </c>
      <c r="S27" s="26">
        <v>15578</v>
      </c>
      <c r="T27" s="77">
        <f>129+135+1601+3400+1875+1487+106</f>
        <v>8733</v>
      </c>
      <c r="U27" s="77">
        <f>T27</f>
        <v>8733</v>
      </c>
      <c r="V27" s="77">
        <f t="shared" si="2"/>
        <v>24311</v>
      </c>
      <c r="W27" s="260">
        <f>(U27/R27)*L27</f>
        <v>0.57265573770491807</v>
      </c>
      <c r="X27" s="259">
        <f>V27/P27*L27</f>
        <v>0.39854098360655738</v>
      </c>
      <c r="Y27" s="258">
        <f>+U27/R27</f>
        <v>0.57265573770491807</v>
      </c>
      <c r="Z27" s="259">
        <f>+V27/P27</f>
        <v>0.39854098360655738</v>
      </c>
      <c r="AA27" s="217" t="s">
        <v>750</v>
      </c>
      <c r="AB27" s="23">
        <v>15250</v>
      </c>
      <c r="AC27" s="23">
        <v>15250</v>
      </c>
      <c r="AD27" s="368">
        <v>4017092532</v>
      </c>
      <c r="AE27" s="368">
        <v>4593305880</v>
      </c>
      <c r="AF27" s="368">
        <v>3750501455</v>
      </c>
      <c r="AG27" s="367">
        <f>AF27/AE27</f>
        <v>0.81651463085232201</v>
      </c>
    </row>
    <row r="28" spans="1:33" s="236" customFormat="1" ht="49.5" customHeight="1">
      <c r="A28" s="215"/>
      <c r="B28" s="244"/>
      <c r="C28" s="215"/>
      <c r="D28" s="215"/>
      <c r="E28" s="443" t="s">
        <v>651</v>
      </c>
      <c r="F28" s="444"/>
      <c r="G28" s="444"/>
      <c r="H28" s="444"/>
      <c r="I28" s="444"/>
      <c r="J28" s="444"/>
      <c r="K28" s="444"/>
      <c r="L28" s="444"/>
      <c r="M28" s="444"/>
      <c r="N28" s="444"/>
      <c r="O28" s="444"/>
      <c r="P28" s="444"/>
      <c r="Q28" s="444"/>
      <c r="R28" s="444"/>
      <c r="S28" s="256"/>
      <c r="T28" s="234"/>
      <c r="U28" s="240"/>
      <c r="V28" s="264"/>
      <c r="W28" s="266">
        <f>SUM(W27)</f>
        <v>0.57265573770491807</v>
      </c>
      <c r="X28" s="266">
        <f>SUM(X27)</f>
        <v>0.39854098360655738</v>
      </c>
      <c r="Y28" s="266">
        <f>AVERAGE(Y27)</f>
        <v>0.57265573770491807</v>
      </c>
      <c r="Z28" s="266">
        <f>AVERAGE(Z27)</f>
        <v>0.39854098360655738</v>
      </c>
      <c r="AA28" s="255"/>
      <c r="AB28" s="223"/>
      <c r="AC28" s="223"/>
      <c r="AD28" s="226"/>
      <c r="AE28" s="226"/>
      <c r="AF28" s="226"/>
      <c r="AG28" s="227"/>
    </row>
    <row r="29" spans="1:33" s="3" customFormat="1" ht="253.8" customHeight="1">
      <c r="A29" s="215"/>
      <c r="B29" s="244"/>
      <c r="C29" s="215"/>
      <c r="D29" s="215"/>
      <c r="E29" s="23" t="s">
        <v>174</v>
      </c>
      <c r="F29" s="202" t="s">
        <v>114</v>
      </c>
      <c r="G29" s="204" t="s">
        <v>278</v>
      </c>
      <c r="H29" s="23" t="s">
        <v>161</v>
      </c>
      <c r="I29" s="213" t="s">
        <v>143</v>
      </c>
      <c r="J29" s="205" t="s">
        <v>543</v>
      </c>
      <c r="K29" s="134" t="s">
        <v>132</v>
      </c>
      <c r="L29" s="261">
        <v>0.55000000000000004</v>
      </c>
      <c r="M29" s="213"/>
      <c r="N29" s="213" t="s">
        <v>169</v>
      </c>
      <c r="O29" s="23" t="s">
        <v>401</v>
      </c>
      <c r="P29" s="134">
        <v>180000</v>
      </c>
      <c r="Q29" s="23">
        <v>45000</v>
      </c>
      <c r="R29" s="26">
        <v>47300</v>
      </c>
      <c r="S29" s="26">
        <v>57272</v>
      </c>
      <c r="T29" s="372">
        <f>4292+11067+10859+5640+2635+3493+3602+4593</f>
        <v>46181</v>
      </c>
      <c r="U29" s="372">
        <f>T29</f>
        <v>46181</v>
      </c>
      <c r="V29" s="77">
        <f t="shared" si="2"/>
        <v>103453</v>
      </c>
      <c r="W29" s="260">
        <f>(U29/R29)*L29</f>
        <v>0.5369883720930233</v>
      </c>
      <c r="X29" s="259">
        <f>V29/P29*L29</f>
        <v>0.31610638888888892</v>
      </c>
      <c r="Y29" s="258">
        <f>+U29/R29</f>
        <v>0.97634249471458778</v>
      </c>
      <c r="Z29" s="259">
        <f>+V29/P29</f>
        <v>0.57473888888888891</v>
      </c>
      <c r="AA29" s="217" t="s">
        <v>745</v>
      </c>
      <c r="AB29" s="23">
        <v>45000</v>
      </c>
      <c r="AC29" s="23">
        <v>45000</v>
      </c>
      <c r="AD29" s="368">
        <v>2103471540</v>
      </c>
      <c r="AE29" s="368">
        <v>2572740623</v>
      </c>
      <c r="AF29" s="368">
        <v>2459509047</v>
      </c>
      <c r="AG29" s="367">
        <f>AF29/AE29</f>
        <v>0.95598795502829825</v>
      </c>
    </row>
    <row r="30" spans="1:33" s="3" customFormat="1" ht="296.39999999999998" customHeight="1">
      <c r="A30" s="215"/>
      <c r="B30" s="244"/>
      <c r="C30" s="215"/>
      <c r="D30" s="215"/>
      <c r="E30" s="23" t="s">
        <v>174</v>
      </c>
      <c r="F30" s="202" t="s">
        <v>114</v>
      </c>
      <c r="G30" s="204" t="s">
        <v>278</v>
      </c>
      <c r="H30" s="23" t="s">
        <v>162</v>
      </c>
      <c r="I30" s="213" t="s">
        <v>143</v>
      </c>
      <c r="J30" s="205" t="s">
        <v>544</v>
      </c>
      <c r="K30" s="134" t="s">
        <v>133</v>
      </c>
      <c r="L30" s="261">
        <v>0.45</v>
      </c>
      <c r="M30" s="213"/>
      <c r="N30" s="213" t="s">
        <v>169</v>
      </c>
      <c r="O30" s="23" t="s">
        <v>401</v>
      </c>
      <c r="P30" s="134">
        <v>120000</v>
      </c>
      <c r="Q30" s="23">
        <v>30000</v>
      </c>
      <c r="R30" s="26">
        <v>30744</v>
      </c>
      <c r="S30" s="26">
        <v>33718</v>
      </c>
      <c r="T30" s="77">
        <f>10000+5829+4238+5862+4783+4565+3402</f>
        <v>38679</v>
      </c>
      <c r="U30" s="77">
        <f>T30</f>
        <v>38679</v>
      </c>
      <c r="V30" s="77">
        <f t="shared" si="2"/>
        <v>72397</v>
      </c>
      <c r="W30" s="260">
        <f>(30744/R30)*L30</f>
        <v>0.45</v>
      </c>
      <c r="X30" s="259">
        <f>V30/P30*L30</f>
        <v>0.27148875</v>
      </c>
      <c r="Y30" s="258">
        <f>30744/R30</f>
        <v>1</v>
      </c>
      <c r="Z30" s="259">
        <f>+V30/P30</f>
        <v>0.60330833333333334</v>
      </c>
      <c r="AA30" s="373" t="s">
        <v>746</v>
      </c>
      <c r="AB30" s="23">
        <v>30000</v>
      </c>
      <c r="AC30" s="23">
        <v>30000</v>
      </c>
      <c r="AD30" s="369">
        <v>3456124347</v>
      </c>
      <c r="AE30" s="369">
        <v>3634736373</v>
      </c>
      <c r="AF30" s="369">
        <v>3555572795</v>
      </c>
      <c r="AG30" s="367">
        <f>AF30/AE30</f>
        <v>0.97822026967676312</v>
      </c>
    </row>
    <row r="31" spans="1:33" s="236" customFormat="1" ht="61.95" customHeight="1">
      <c r="A31" s="215"/>
      <c r="B31" s="244"/>
      <c r="C31" s="215"/>
      <c r="D31" s="215"/>
      <c r="E31" s="461" t="s">
        <v>647</v>
      </c>
      <c r="F31" s="461"/>
      <c r="G31" s="461"/>
      <c r="H31" s="461"/>
      <c r="I31" s="461"/>
      <c r="J31" s="461"/>
      <c r="K31" s="461"/>
      <c r="L31" s="461"/>
      <c r="M31" s="461"/>
      <c r="N31" s="461"/>
      <c r="O31" s="461"/>
      <c r="P31" s="461"/>
      <c r="Q31" s="461"/>
      <c r="R31" s="461"/>
      <c r="S31" s="234"/>
      <c r="T31" s="234"/>
      <c r="U31" s="235"/>
      <c r="V31" s="264"/>
      <c r="W31" s="266">
        <f>SUM(W29:W30)</f>
        <v>0.98698837209302326</v>
      </c>
      <c r="X31" s="266">
        <f>SUM(X29:X30)</f>
        <v>0.58759513888888892</v>
      </c>
      <c r="Y31" s="266">
        <f>AVERAGE(Y29:Y30)</f>
        <v>0.98817124735729389</v>
      </c>
      <c r="Z31" s="277">
        <f>AVERAGE(Z29:Z30)</f>
        <v>0.58902361111111112</v>
      </c>
      <c r="AA31" s="255"/>
      <c r="AB31" s="223"/>
      <c r="AC31" s="223"/>
      <c r="AD31" s="269"/>
      <c r="AE31" s="269"/>
      <c r="AF31" s="269"/>
      <c r="AG31" s="270"/>
    </row>
    <row r="32" spans="1:33" s="3" customFormat="1" ht="76.95" customHeight="1">
      <c r="A32" s="215"/>
      <c r="B32" s="244"/>
      <c r="C32" s="215"/>
      <c r="D32" s="215"/>
      <c r="E32" s="23" t="s">
        <v>172</v>
      </c>
      <c r="F32" s="134" t="s">
        <v>115</v>
      </c>
      <c r="G32" s="204" t="s">
        <v>279</v>
      </c>
      <c r="H32" s="23" t="s">
        <v>163</v>
      </c>
      <c r="I32" s="213" t="s">
        <v>143</v>
      </c>
      <c r="J32" s="134" t="s">
        <v>534</v>
      </c>
      <c r="K32" s="134" t="s">
        <v>134</v>
      </c>
      <c r="L32" s="261">
        <v>0.2</v>
      </c>
      <c r="M32" s="213"/>
      <c r="N32" s="213" t="s">
        <v>169</v>
      </c>
      <c r="O32" s="23" t="s">
        <v>402</v>
      </c>
      <c r="P32" s="134">
        <v>200</v>
      </c>
      <c r="Q32" s="23">
        <v>60</v>
      </c>
      <c r="R32" s="26">
        <v>60</v>
      </c>
      <c r="S32" s="26">
        <v>70</v>
      </c>
      <c r="T32" s="77">
        <f>5+3+4+2+1+2+4+2</f>
        <v>23</v>
      </c>
      <c r="U32" s="77">
        <f>T32</f>
        <v>23</v>
      </c>
      <c r="V32" s="77">
        <f t="shared" si="2"/>
        <v>93</v>
      </c>
      <c r="W32" s="260">
        <f>(U32/R32)*L32</f>
        <v>7.6666666666666675E-2</v>
      </c>
      <c r="X32" s="259">
        <f>V32/P32*L32</f>
        <v>9.3000000000000013E-2</v>
      </c>
      <c r="Y32" s="258">
        <f>+U32/R32</f>
        <v>0.38333333333333336</v>
      </c>
      <c r="Z32" s="259">
        <f>+V32/P32</f>
        <v>0.46500000000000002</v>
      </c>
      <c r="AA32" s="217" t="s">
        <v>777</v>
      </c>
      <c r="AB32" s="23">
        <v>60</v>
      </c>
      <c r="AC32" s="23">
        <v>60</v>
      </c>
      <c r="AD32" s="445">
        <v>770484000</v>
      </c>
      <c r="AE32" s="445">
        <v>1340931840</v>
      </c>
      <c r="AF32" s="445">
        <v>1040509000</v>
      </c>
      <c r="AG32" s="446">
        <f>AF32/AE32</f>
        <v>0.77595964907507897</v>
      </c>
    </row>
    <row r="33" spans="1:33" s="3" customFormat="1" ht="96.6">
      <c r="A33" s="215"/>
      <c r="B33" s="244"/>
      <c r="C33" s="215"/>
      <c r="D33" s="215"/>
      <c r="E33" s="23" t="s">
        <v>172</v>
      </c>
      <c r="F33" s="134" t="s">
        <v>115</v>
      </c>
      <c r="G33" s="204" t="s">
        <v>279</v>
      </c>
      <c r="H33" s="23" t="s">
        <v>164</v>
      </c>
      <c r="I33" s="213" t="s">
        <v>143</v>
      </c>
      <c r="J33" s="205" t="s">
        <v>545</v>
      </c>
      <c r="K33" s="134" t="s">
        <v>135</v>
      </c>
      <c r="L33" s="261">
        <v>0.35</v>
      </c>
      <c r="M33" s="213"/>
      <c r="N33" s="213" t="s">
        <v>169</v>
      </c>
      <c r="O33" s="23" t="s">
        <v>401</v>
      </c>
      <c r="P33" s="134">
        <v>60000</v>
      </c>
      <c r="Q33" s="23">
        <f>60000/4</f>
        <v>15000</v>
      </c>
      <c r="R33" s="26">
        <f>60000/4</f>
        <v>15000</v>
      </c>
      <c r="S33" s="26">
        <v>20000</v>
      </c>
      <c r="T33" s="77">
        <f>500+8661+247+242+1090+2092+805+691+78+132+1104+9729+7292+15309+80+78+1046+798+261+556+891+145+1650+598+4022+2437</f>
        <v>60534</v>
      </c>
      <c r="U33" s="77">
        <f>T33</f>
        <v>60534</v>
      </c>
      <c r="V33" s="77">
        <f t="shared" si="2"/>
        <v>80534</v>
      </c>
      <c r="W33" s="260">
        <f>(20000/R33)*L33</f>
        <v>0.46666666666666662</v>
      </c>
      <c r="X33" s="259">
        <f>V33/P33*L33</f>
        <v>0.46978166666666665</v>
      </c>
      <c r="Y33" s="258">
        <f>15000/R33</f>
        <v>1</v>
      </c>
      <c r="Z33" s="259">
        <f>60000/60000</f>
        <v>1</v>
      </c>
      <c r="AA33" s="217" t="s">
        <v>777</v>
      </c>
      <c r="AB33" s="23">
        <f>60000/4</f>
        <v>15000</v>
      </c>
      <c r="AC33" s="23">
        <f>60000/4</f>
        <v>15000</v>
      </c>
      <c r="AD33" s="445"/>
      <c r="AE33" s="445"/>
      <c r="AF33" s="445"/>
      <c r="AG33" s="446"/>
    </row>
    <row r="34" spans="1:33" s="3" customFormat="1" ht="63" customHeight="1">
      <c r="A34" s="215"/>
      <c r="B34" s="244"/>
      <c r="C34" s="215"/>
      <c r="D34" s="215"/>
      <c r="E34" s="23" t="s">
        <v>174</v>
      </c>
      <c r="F34" s="134" t="s">
        <v>115</v>
      </c>
      <c r="G34" s="204" t="s">
        <v>279</v>
      </c>
      <c r="H34" s="23" t="s">
        <v>165</v>
      </c>
      <c r="I34" s="213" t="s">
        <v>143</v>
      </c>
      <c r="J34" s="134" t="s">
        <v>535</v>
      </c>
      <c r="K34" s="134" t="s">
        <v>136</v>
      </c>
      <c r="L34" s="261">
        <v>0.2</v>
      </c>
      <c r="M34" s="213"/>
      <c r="N34" s="213" t="s">
        <v>169</v>
      </c>
      <c r="O34" s="23" t="s">
        <v>741</v>
      </c>
      <c r="P34" s="134">
        <v>96</v>
      </c>
      <c r="Q34" s="23">
        <v>25</v>
      </c>
      <c r="R34" s="26">
        <v>25</v>
      </c>
      <c r="S34" s="26">
        <v>35</v>
      </c>
      <c r="T34" s="77">
        <v>15</v>
      </c>
      <c r="U34" s="77">
        <f>T34</f>
        <v>15</v>
      </c>
      <c r="V34" s="77">
        <f t="shared" si="2"/>
        <v>50</v>
      </c>
      <c r="W34" s="260">
        <f>(U34/R34)*L34</f>
        <v>0.12</v>
      </c>
      <c r="X34" s="259">
        <f>V34/P34*L34</f>
        <v>0.10416666666666669</v>
      </c>
      <c r="Y34" s="258">
        <f>+U34/R34</f>
        <v>0.6</v>
      </c>
      <c r="Z34" s="259">
        <f>+V34/P34</f>
        <v>0.52083333333333337</v>
      </c>
      <c r="AA34" s="217" t="s">
        <v>775</v>
      </c>
      <c r="AB34" s="23">
        <v>30</v>
      </c>
      <c r="AC34" s="23">
        <v>30</v>
      </c>
      <c r="AD34" s="445"/>
      <c r="AE34" s="445"/>
      <c r="AF34" s="445"/>
      <c r="AG34" s="446"/>
    </row>
    <row r="35" spans="1:33" s="3" customFormat="1" ht="88.2" customHeight="1">
      <c r="A35" s="215"/>
      <c r="B35" s="244"/>
      <c r="C35" s="215"/>
      <c r="D35" s="215"/>
      <c r="E35" s="23" t="s">
        <v>174</v>
      </c>
      <c r="F35" s="134" t="s">
        <v>115</v>
      </c>
      <c r="G35" s="204" t="s">
        <v>279</v>
      </c>
      <c r="H35" s="23" t="s">
        <v>166</v>
      </c>
      <c r="I35" s="213" t="s">
        <v>143</v>
      </c>
      <c r="J35" s="205" t="s">
        <v>546</v>
      </c>
      <c r="K35" s="134" t="s">
        <v>137</v>
      </c>
      <c r="L35" s="261">
        <v>0.25</v>
      </c>
      <c r="M35" s="213"/>
      <c r="N35" s="213" t="s">
        <v>169</v>
      </c>
      <c r="O35" s="23" t="s">
        <v>403</v>
      </c>
      <c r="P35" s="134">
        <v>65000</v>
      </c>
      <c r="Q35" s="23">
        <v>17000</v>
      </c>
      <c r="R35" s="26">
        <v>17000</v>
      </c>
      <c r="S35" s="26">
        <v>32636</v>
      </c>
      <c r="T35" s="77">
        <f>493 +1500+2500+13000+12476</f>
        <v>29969</v>
      </c>
      <c r="U35" s="77">
        <f>T35</f>
        <v>29969</v>
      </c>
      <c r="V35" s="77">
        <f t="shared" si="2"/>
        <v>62605</v>
      </c>
      <c r="W35" s="260">
        <f>(17000/R35)*L35</f>
        <v>0.25</v>
      </c>
      <c r="X35" s="259">
        <f>V35/P35*L35</f>
        <v>0.24078846153846153</v>
      </c>
      <c r="Y35" s="258">
        <f>17000/R35</f>
        <v>1</v>
      </c>
      <c r="Z35" s="259">
        <f>+V35/P35</f>
        <v>0.96315384615384614</v>
      </c>
      <c r="AA35" s="217" t="s">
        <v>776</v>
      </c>
      <c r="AB35" s="23">
        <v>20000</v>
      </c>
      <c r="AC35" s="23">
        <v>20000</v>
      </c>
      <c r="AD35" s="445"/>
      <c r="AE35" s="445"/>
      <c r="AF35" s="445"/>
      <c r="AG35" s="446"/>
    </row>
    <row r="36" spans="1:33" s="236" customFormat="1" ht="47.25" customHeight="1">
      <c r="A36" s="215"/>
      <c r="B36" s="244"/>
      <c r="C36" s="215"/>
      <c r="D36" s="215"/>
      <c r="E36" s="443" t="s">
        <v>648</v>
      </c>
      <c r="F36" s="444"/>
      <c r="G36" s="444"/>
      <c r="H36" s="444"/>
      <c r="I36" s="444"/>
      <c r="J36" s="444"/>
      <c r="K36" s="444"/>
      <c r="L36" s="444"/>
      <c r="M36" s="444"/>
      <c r="N36" s="444"/>
      <c r="O36" s="444"/>
      <c r="P36" s="444"/>
      <c r="Q36" s="444"/>
      <c r="R36" s="444"/>
      <c r="S36" s="444"/>
      <c r="T36" s="444"/>
      <c r="U36" s="459"/>
      <c r="V36" s="264"/>
      <c r="W36" s="266">
        <f>SUM(W32:W35)</f>
        <v>0.91333333333333333</v>
      </c>
      <c r="X36" s="266">
        <f>SUM(X32:X35)</f>
        <v>0.90773679487179482</v>
      </c>
      <c r="Y36" s="266">
        <f>AVERAGE(Y32:Y35)</f>
        <v>0.74583333333333335</v>
      </c>
      <c r="Z36" s="266">
        <f>AVERAGE(Z32:Z35)</f>
        <v>0.7372467948717949</v>
      </c>
      <c r="AA36" s="255"/>
      <c r="AB36" s="223"/>
      <c r="AC36" s="223"/>
      <c r="AD36" s="269"/>
      <c r="AE36" s="269"/>
      <c r="AF36" s="269"/>
      <c r="AG36" s="270"/>
    </row>
    <row r="37" spans="1:33" s="3" customFormat="1" ht="145.19999999999999" customHeight="1">
      <c r="A37" s="215"/>
      <c r="B37" s="244"/>
      <c r="C37" s="215"/>
      <c r="D37" s="215"/>
      <c r="E37" s="23" t="s">
        <v>172</v>
      </c>
      <c r="F37" s="203" t="s">
        <v>116</v>
      </c>
      <c r="G37" s="204" t="s">
        <v>280</v>
      </c>
      <c r="H37" s="134" t="s">
        <v>144</v>
      </c>
      <c r="I37" s="213" t="s">
        <v>143</v>
      </c>
      <c r="J37" s="206" t="s">
        <v>142</v>
      </c>
      <c r="K37" s="134" t="s">
        <v>138</v>
      </c>
      <c r="L37" s="261">
        <v>0.5</v>
      </c>
      <c r="M37" s="213"/>
      <c r="N37" s="213" t="s">
        <v>169</v>
      </c>
      <c r="O37" s="23" t="s">
        <v>402</v>
      </c>
      <c r="P37" s="134">
        <v>4</v>
      </c>
      <c r="Q37" s="23">
        <v>1</v>
      </c>
      <c r="R37" s="26">
        <v>1</v>
      </c>
      <c r="S37" s="26">
        <v>1</v>
      </c>
      <c r="T37" s="77">
        <f>S37</f>
        <v>1</v>
      </c>
      <c r="U37" s="77">
        <f>T37</f>
        <v>1</v>
      </c>
      <c r="V37" s="77">
        <f t="shared" si="2"/>
        <v>2</v>
      </c>
      <c r="W37" s="260">
        <f>(U37/R37)*L37</f>
        <v>0.5</v>
      </c>
      <c r="X37" s="259">
        <f>V37/P37*L37</f>
        <v>0.25</v>
      </c>
      <c r="Y37" s="258">
        <f>+U37/R37</f>
        <v>1</v>
      </c>
      <c r="Z37" s="259">
        <f>+V37/P37</f>
        <v>0.5</v>
      </c>
      <c r="AA37" s="217" t="s">
        <v>778</v>
      </c>
      <c r="AB37" s="23">
        <v>1</v>
      </c>
      <c r="AC37" s="23">
        <v>1</v>
      </c>
      <c r="AD37" s="437">
        <v>385776000</v>
      </c>
      <c r="AE37" s="437">
        <v>385776000</v>
      </c>
      <c r="AF37" s="437">
        <v>246721500</v>
      </c>
      <c r="AG37" s="440">
        <f>AF37/AE37</f>
        <v>0.63954600597237776</v>
      </c>
    </row>
    <row r="38" spans="1:33" s="3" customFormat="1" ht="108" customHeight="1">
      <c r="A38" s="215"/>
      <c r="B38" s="244"/>
      <c r="C38" s="215"/>
      <c r="D38" s="215"/>
      <c r="E38" s="23" t="s">
        <v>172</v>
      </c>
      <c r="F38" s="203" t="s">
        <v>116</v>
      </c>
      <c r="G38" s="204" t="s">
        <v>526</v>
      </c>
      <c r="H38" s="134" t="s">
        <v>145</v>
      </c>
      <c r="I38" s="213" t="s">
        <v>143</v>
      </c>
      <c r="J38" s="150" t="s">
        <v>142</v>
      </c>
      <c r="K38" s="134" t="s">
        <v>139</v>
      </c>
      <c r="L38" s="261">
        <v>0.5</v>
      </c>
      <c r="M38" s="213"/>
      <c r="N38" s="213" t="s">
        <v>169</v>
      </c>
      <c r="O38" s="23" t="s">
        <v>402</v>
      </c>
      <c r="P38" s="134">
        <v>4</v>
      </c>
      <c r="Q38" s="23">
        <v>1</v>
      </c>
      <c r="R38" s="26">
        <v>1</v>
      </c>
      <c r="S38" s="26">
        <v>0</v>
      </c>
      <c r="T38" s="77">
        <v>0</v>
      </c>
      <c r="U38" s="77">
        <f>T38</f>
        <v>0</v>
      </c>
      <c r="V38" s="77">
        <f t="shared" si="2"/>
        <v>0</v>
      </c>
      <c r="W38" s="260">
        <f>(U38/R38)*L38</f>
        <v>0</v>
      </c>
      <c r="X38" s="259">
        <f>V38/P38*L38</f>
        <v>0</v>
      </c>
      <c r="Y38" s="258">
        <f>+U38/R38</f>
        <v>0</v>
      </c>
      <c r="Z38" s="259">
        <f>+V38/P38</f>
        <v>0</v>
      </c>
      <c r="AA38" s="364" t="s">
        <v>753</v>
      </c>
      <c r="AB38" s="23">
        <v>1</v>
      </c>
      <c r="AC38" s="23">
        <v>1</v>
      </c>
      <c r="AD38" s="438"/>
      <c r="AE38" s="438"/>
      <c r="AF38" s="438"/>
      <c r="AG38" s="441"/>
    </row>
    <row r="39" spans="1:33" s="236" customFormat="1" ht="64.5" customHeight="1">
      <c r="A39" s="215"/>
      <c r="B39" s="244"/>
      <c r="C39" s="215"/>
      <c r="D39" s="215"/>
      <c r="E39" s="443" t="s">
        <v>649</v>
      </c>
      <c r="F39" s="444"/>
      <c r="G39" s="444"/>
      <c r="H39" s="444"/>
      <c r="I39" s="444"/>
      <c r="J39" s="444"/>
      <c r="K39" s="444"/>
      <c r="L39" s="444"/>
      <c r="M39" s="444"/>
      <c r="N39" s="444"/>
      <c r="O39" s="444"/>
      <c r="P39" s="444"/>
      <c r="Q39" s="444"/>
      <c r="R39" s="444"/>
      <c r="S39" s="444"/>
      <c r="T39" s="444"/>
      <c r="U39" s="459"/>
      <c r="V39" s="264"/>
      <c r="W39" s="266">
        <f>SUM(W37:W38)</f>
        <v>0.5</v>
      </c>
      <c r="X39" s="266">
        <f>SUM(X37:X38)</f>
        <v>0.25</v>
      </c>
      <c r="Y39" s="266">
        <f>AVERAGE(Y37:Y38)</f>
        <v>0.5</v>
      </c>
      <c r="Z39" s="266">
        <f>AVERAGE(Z37:Z38)</f>
        <v>0.25</v>
      </c>
      <c r="AA39" s="26"/>
      <c r="AB39" s="223"/>
      <c r="AC39" s="223"/>
      <c r="AD39" s="226"/>
      <c r="AE39" s="269"/>
      <c r="AF39" s="226"/>
      <c r="AG39" s="227"/>
    </row>
    <row r="40" spans="1:33" s="3" customFormat="1" ht="224.4" customHeight="1">
      <c r="A40" s="216"/>
      <c r="B40" s="245"/>
      <c r="C40" s="216"/>
      <c r="D40" s="216"/>
      <c r="E40" s="23" t="s">
        <v>172</v>
      </c>
      <c r="F40" s="202" t="s">
        <v>141</v>
      </c>
      <c r="G40" s="219">
        <v>36928</v>
      </c>
      <c r="H40" s="202" t="s">
        <v>146</v>
      </c>
      <c r="I40" s="214" t="s">
        <v>143</v>
      </c>
      <c r="J40" s="220" t="s">
        <v>536</v>
      </c>
      <c r="K40" s="202" t="s">
        <v>140</v>
      </c>
      <c r="L40" s="262">
        <v>1</v>
      </c>
      <c r="M40" s="214"/>
      <c r="N40" s="214" t="s">
        <v>169</v>
      </c>
      <c r="O40" s="218" t="s">
        <v>402</v>
      </c>
      <c r="P40" s="202">
        <v>4</v>
      </c>
      <c r="Q40" s="218">
        <v>1</v>
      </c>
      <c r="R40" s="221">
        <v>1</v>
      </c>
      <c r="S40" s="221">
        <v>1</v>
      </c>
      <c r="T40" s="375">
        <f>S40</f>
        <v>1</v>
      </c>
      <c r="U40" s="375">
        <f>T40</f>
        <v>1</v>
      </c>
      <c r="V40" s="77">
        <f>(S40+U40)</f>
        <v>2</v>
      </c>
      <c r="W40" s="260">
        <f>(U40/R40)*L40</f>
        <v>1</v>
      </c>
      <c r="X40" s="259">
        <f>V40/P40*L40</f>
        <v>0.5</v>
      </c>
      <c r="Y40" s="258">
        <f>+U40/R40</f>
        <v>1</v>
      </c>
      <c r="Z40" s="259">
        <f>+V40/P40</f>
        <v>0.5</v>
      </c>
      <c r="AA40" s="370" t="s">
        <v>754</v>
      </c>
      <c r="AB40" s="218">
        <v>1</v>
      </c>
      <c r="AC40" s="218">
        <v>1</v>
      </c>
      <c r="AD40" s="365">
        <v>160740000</v>
      </c>
      <c r="AE40" s="365">
        <v>160740000</v>
      </c>
      <c r="AF40" s="365">
        <v>157085000</v>
      </c>
      <c r="AG40" s="366">
        <f>AF40/AE40</f>
        <v>0.97726141595122562</v>
      </c>
    </row>
    <row r="41" spans="1:33" s="236" customFormat="1" ht="60.75" customHeight="1">
      <c r="A41" s="237"/>
      <c r="C41" s="237"/>
      <c r="D41" s="246"/>
      <c r="E41" s="460" t="s">
        <v>650</v>
      </c>
      <c r="F41" s="460"/>
      <c r="G41" s="460"/>
      <c r="H41" s="460"/>
      <c r="I41" s="460"/>
      <c r="J41" s="460"/>
      <c r="K41" s="460"/>
      <c r="L41" s="460"/>
      <c r="M41" s="460"/>
      <c r="N41" s="460"/>
      <c r="O41" s="460"/>
      <c r="P41" s="460"/>
      <c r="Q41" s="460"/>
      <c r="R41" s="460"/>
      <c r="S41" s="460"/>
      <c r="T41" s="460"/>
      <c r="U41" s="460"/>
      <c r="V41" s="265"/>
      <c r="W41" s="268">
        <f>SUM(W40)</f>
        <v>1</v>
      </c>
      <c r="X41" s="268">
        <f>SUM(X40)</f>
        <v>0.5</v>
      </c>
      <c r="Y41" s="268">
        <f>AVERAGE(Y40)</f>
        <v>1</v>
      </c>
      <c r="Z41" s="268">
        <f>AVERAGE(Z40)</f>
        <v>0.5</v>
      </c>
      <c r="AA41" s="257"/>
      <c r="AB41" s="242"/>
      <c r="AC41" s="242"/>
      <c r="AD41" s="243"/>
      <c r="AE41" s="243"/>
      <c r="AF41" s="666"/>
      <c r="AG41" s="243"/>
    </row>
    <row r="42" spans="1:33" s="236" customFormat="1" ht="84" customHeight="1">
      <c r="A42" s="237"/>
      <c r="C42" s="237"/>
      <c r="D42" s="237"/>
      <c r="K42" s="238"/>
      <c r="L42" s="238"/>
      <c r="M42" s="238"/>
      <c r="N42" s="238"/>
      <c r="O42" s="238"/>
      <c r="P42" s="238"/>
      <c r="Q42" s="462" t="s">
        <v>781</v>
      </c>
      <c r="R42" s="462"/>
      <c r="S42" s="462"/>
      <c r="T42" s="462"/>
      <c r="U42" s="462"/>
      <c r="V42" s="463"/>
      <c r="W42" s="268">
        <f>AVERAGE(W13,W16,W19,W26,W28,W31,W36,W39,W41)</f>
        <v>0.73583356309674064</v>
      </c>
      <c r="X42" s="268">
        <f>AVERAGE(X13,X16,X19,X26,X28,X31,X36,X39,X41)</f>
        <v>0.52957729223028893</v>
      </c>
      <c r="Y42" s="268">
        <f>AVERAGE(Y13,Y16,Y19,Y26,Y28,Y31,Y36,Y39,Y41)</f>
        <v>0.7238237554284811</v>
      </c>
      <c r="Z42" s="268">
        <f>AVERAGE(Z13,Z16,Z19,Z26,Z28,Z31,Z36,Z39,Z41)</f>
        <v>0.49485242729004003</v>
      </c>
      <c r="AD42" s="228"/>
      <c r="AE42" s="228"/>
      <c r="AF42" s="228"/>
      <c r="AG42" s="228"/>
    </row>
    <row r="43" spans="1:33" s="236" customFormat="1" ht="47.25" customHeight="1">
      <c r="A43" s="237"/>
      <c r="C43" s="237"/>
      <c r="D43" s="237"/>
      <c r="F43" s="240" t="s">
        <v>782</v>
      </c>
      <c r="G43" s="239"/>
      <c r="H43" s="239"/>
      <c r="I43" s="239"/>
      <c r="J43" s="239"/>
      <c r="K43" s="239"/>
      <c r="L43" s="239"/>
      <c r="M43" s="239"/>
      <c r="N43" s="239"/>
      <c r="O43" s="239"/>
      <c r="P43" s="239"/>
      <c r="Q43" s="464"/>
      <c r="R43" s="435"/>
      <c r="S43" s="435"/>
      <c r="T43" s="435"/>
      <c r="U43" s="436"/>
      <c r="V43" s="271"/>
      <c r="W43" s="272"/>
      <c r="X43" s="241"/>
      <c r="Y43" s="241"/>
      <c r="Z43" s="241"/>
      <c r="AD43" s="229">
        <f t="shared" ref="AD43:AF44" si="3">+SUM(AD8:AD40)</f>
        <v>35656023276</v>
      </c>
      <c r="AE43" s="229">
        <f t="shared" si="3"/>
        <v>73203606580</v>
      </c>
      <c r="AF43" s="229">
        <f t="shared" si="3"/>
        <v>64817109699</v>
      </c>
      <c r="AG43" s="230">
        <f>+AF43/AE43</f>
        <v>0.88543601507072089</v>
      </c>
    </row>
    <row r="44" spans="1:33">
      <c r="A44" s="20"/>
      <c r="C44" s="20"/>
      <c r="D44" s="20"/>
      <c r="AD44" s="229">
        <f t="shared" si="3"/>
        <v>35656023276</v>
      </c>
      <c r="AE44" s="229">
        <f t="shared" si="3"/>
        <v>73203606580</v>
      </c>
      <c r="AF44" s="229">
        <f t="shared" si="3"/>
        <v>64817109699</v>
      </c>
      <c r="AG44" s="230">
        <f>+AF44/AE44</f>
        <v>0.88543601507072089</v>
      </c>
    </row>
    <row r="45" spans="1:33">
      <c r="A45" s="20"/>
      <c r="C45" s="20"/>
      <c r="D45" s="20"/>
    </row>
    <row r="46" spans="1:33">
      <c r="A46" s="20"/>
      <c r="C46" s="20"/>
      <c r="D46" s="20"/>
    </row>
    <row r="47" spans="1:33">
      <c r="A47" s="20"/>
      <c r="C47" s="20"/>
      <c r="D47" s="20"/>
    </row>
    <row r="48" spans="1:33">
      <c r="A48" s="20"/>
      <c r="C48" s="20"/>
      <c r="D48" s="20"/>
    </row>
    <row r="49" spans="1:4">
      <c r="A49" s="20"/>
      <c r="C49" s="20"/>
      <c r="D49" s="20"/>
    </row>
    <row r="50" spans="1:4">
      <c r="A50" s="20"/>
      <c r="C50" s="20"/>
      <c r="D50" s="20"/>
    </row>
    <row r="51" spans="1:4">
      <c r="A51" s="20"/>
      <c r="C51" s="20"/>
      <c r="D51" s="20"/>
    </row>
    <row r="52" spans="1:4">
      <c r="A52" s="20"/>
      <c r="C52" s="20"/>
      <c r="D52" s="20"/>
    </row>
    <row r="53" spans="1:4">
      <c r="A53" s="20"/>
      <c r="C53" s="20"/>
      <c r="D53" s="20"/>
    </row>
    <row r="54" spans="1:4">
      <c r="A54" s="20"/>
      <c r="C54" s="20"/>
      <c r="D54" s="20"/>
    </row>
    <row r="55" spans="1:4">
      <c r="A55" s="20"/>
      <c r="C55" s="20"/>
      <c r="D55" s="20"/>
    </row>
    <row r="56" spans="1:4">
      <c r="A56" s="20"/>
      <c r="C56" s="20"/>
      <c r="D56" s="20"/>
    </row>
    <row r="57" spans="1:4">
      <c r="A57" s="20"/>
      <c r="C57" s="20"/>
      <c r="D57" s="20"/>
    </row>
    <row r="58" spans="1:4">
      <c r="A58" s="20"/>
      <c r="C58" s="20"/>
      <c r="D58" s="20"/>
    </row>
    <row r="59" spans="1:4">
      <c r="A59" s="20"/>
      <c r="C59" s="20"/>
      <c r="D59" s="20"/>
    </row>
    <row r="60" spans="1:4">
      <c r="A60" s="20"/>
      <c r="C60" s="20"/>
      <c r="D60" s="20"/>
    </row>
    <row r="61" spans="1:4">
      <c r="A61" s="20"/>
      <c r="C61" s="20"/>
      <c r="D61" s="20"/>
    </row>
    <row r="62" spans="1:4">
      <c r="A62" s="20"/>
      <c r="C62" s="20"/>
      <c r="D62" s="20"/>
    </row>
    <row r="63" spans="1:4">
      <c r="A63" s="20"/>
      <c r="C63" s="20"/>
      <c r="D63" s="20"/>
    </row>
    <row r="64" spans="1:4">
      <c r="A64" s="20"/>
      <c r="C64" s="20"/>
      <c r="D64" s="20"/>
    </row>
    <row r="65" spans="1:4">
      <c r="A65" s="20"/>
      <c r="C65" s="20"/>
      <c r="D65" s="20"/>
    </row>
    <row r="66" spans="1:4">
      <c r="A66" s="20"/>
      <c r="C66" s="20"/>
      <c r="D66" s="20"/>
    </row>
    <row r="67" spans="1:4">
      <c r="A67" s="20"/>
      <c r="C67" s="20"/>
      <c r="D67" s="20"/>
    </row>
    <row r="68" spans="1:4">
      <c r="A68" s="20"/>
      <c r="C68" s="20"/>
      <c r="D68" s="20"/>
    </row>
    <row r="69" spans="1:4">
      <c r="A69" s="20"/>
      <c r="C69" s="20"/>
      <c r="D69" s="20"/>
    </row>
    <row r="70" spans="1:4">
      <c r="A70" s="20"/>
      <c r="C70" s="20"/>
      <c r="D70" s="20"/>
    </row>
    <row r="71" spans="1:4">
      <c r="A71" s="20"/>
      <c r="C71" s="20"/>
      <c r="D71" s="20"/>
    </row>
    <row r="72" spans="1:4">
      <c r="A72" s="20"/>
      <c r="C72" s="20"/>
      <c r="D72" s="20"/>
    </row>
    <row r="73" spans="1:4">
      <c r="A73" s="20"/>
      <c r="C73" s="20"/>
      <c r="D73" s="20"/>
    </row>
    <row r="74" spans="1:4">
      <c r="A74" s="20"/>
      <c r="C74" s="20"/>
      <c r="D74" s="20"/>
    </row>
    <row r="75" spans="1:4">
      <c r="A75" s="20"/>
      <c r="C75" s="20"/>
      <c r="D75" s="20"/>
    </row>
    <row r="76" spans="1:4">
      <c r="A76" s="20"/>
      <c r="C76" s="20"/>
      <c r="D76" s="20"/>
    </row>
    <row r="77" spans="1:4">
      <c r="A77" s="20"/>
      <c r="C77" s="20"/>
      <c r="D77" s="20"/>
    </row>
    <row r="78" spans="1:4">
      <c r="A78" s="20"/>
      <c r="C78" s="20"/>
      <c r="D78" s="20"/>
    </row>
    <row r="79" spans="1:4">
      <c r="A79" s="20"/>
      <c r="C79" s="20"/>
      <c r="D79" s="20"/>
    </row>
    <row r="80" spans="1:4">
      <c r="A80" s="20"/>
      <c r="C80" s="20"/>
      <c r="D80" s="20"/>
    </row>
    <row r="81" spans="1:4">
      <c r="A81" s="20"/>
      <c r="C81" s="20"/>
      <c r="D81" s="20"/>
    </row>
    <row r="82" spans="1:4">
      <c r="A82" s="20"/>
      <c r="C82" s="20"/>
      <c r="D82" s="20"/>
    </row>
    <row r="83" spans="1:4">
      <c r="A83" s="20"/>
      <c r="C83" s="20"/>
      <c r="D83" s="20"/>
    </row>
    <row r="84" spans="1:4">
      <c r="A84" s="20"/>
      <c r="C84" s="20"/>
      <c r="D84" s="20"/>
    </row>
    <row r="85" spans="1:4">
      <c r="A85" s="20"/>
      <c r="C85" s="20"/>
      <c r="D85" s="20"/>
    </row>
    <row r="86" spans="1:4">
      <c r="A86" s="20"/>
      <c r="C86" s="20"/>
      <c r="D86" s="20"/>
    </row>
    <row r="87" spans="1:4">
      <c r="A87" s="20"/>
      <c r="C87" s="20"/>
      <c r="D87" s="20"/>
    </row>
    <row r="88" spans="1:4">
      <c r="A88" s="20"/>
      <c r="C88" s="20"/>
      <c r="D88" s="20"/>
    </row>
    <row r="89" spans="1:4">
      <c r="A89" s="20"/>
      <c r="C89" s="20"/>
      <c r="D89" s="20"/>
    </row>
    <row r="90" spans="1:4">
      <c r="A90" s="20"/>
      <c r="C90" s="20"/>
      <c r="D90" s="20"/>
    </row>
    <row r="91" spans="1:4">
      <c r="A91" s="20"/>
      <c r="C91" s="20"/>
      <c r="D91" s="20"/>
    </row>
    <row r="92" spans="1:4">
      <c r="A92" s="20"/>
      <c r="C92" s="20"/>
      <c r="D92" s="20"/>
    </row>
    <row r="93" spans="1:4">
      <c r="A93" s="20"/>
      <c r="C93" s="20"/>
      <c r="D93" s="20"/>
    </row>
    <row r="94" spans="1:4">
      <c r="A94" s="20"/>
      <c r="C94" s="20"/>
      <c r="D94" s="20"/>
    </row>
    <row r="95" spans="1:4">
      <c r="A95" s="20"/>
      <c r="C95" s="20"/>
      <c r="D95" s="20"/>
    </row>
    <row r="96" spans="1:4">
      <c r="A96" s="20"/>
      <c r="C96" s="20"/>
      <c r="D96" s="20"/>
    </row>
    <row r="97" spans="1:4">
      <c r="A97" s="20"/>
      <c r="C97" s="20"/>
      <c r="D97" s="20"/>
    </row>
    <row r="98" spans="1:4">
      <c r="A98" s="20"/>
      <c r="C98" s="20"/>
      <c r="D98" s="20"/>
    </row>
    <row r="99" spans="1:4">
      <c r="A99" s="20"/>
      <c r="C99" s="20"/>
      <c r="D99" s="20"/>
    </row>
    <row r="100" spans="1:4">
      <c r="A100" s="20"/>
      <c r="C100" s="20"/>
      <c r="D100" s="20"/>
    </row>
    <row r="101" spans="1:4">
      <c r="A101" s="20"/>
      <c r="C101" s="20"/>
      <c r="D101" s="20"/>
    </row>
    <row r="102" spans="1:4">
      <c r="A102" s="20"/>
      <c r="C102" s="20"/>
      <c r="D102" s="20"/>
    </row>
    <row r="103" spans="1:4">
      <c r="A103" s="20"/>
      <c r="C103" s="20"/>
      <c r="D103" s="20"/>
    </row>
    <row r="104" spans="1:4">
      <c r="A104" s="20"/>
      <c r="C104" s="20"/>
      <c r="D104" s="20"/>
    </row>
  </sheetData>
  <mergeCells count="86">
    <mergeCell ref="Q42:V42"/>
    <mergeCell ref="Q43:U43"/>
    <mergeCell ref="AD37:AD38"/>
    <mergeCell ref="AE37:AE38"/>
    <mergeCell ref="AF37:AF38"/>
    <mergeCell ref="AG37:AG38"/>
    <mergeCell ref="E39:U39"/>
    <mergeCell ref="E41:U41"/>
    <mergeCell ref="E31:R31"/>
    <mergeCell ref="AD32:AD35"/>
    <mergeCell ref="AE32:AE35"/>
    <mergeCell ref="AF32:AF35"/>
    <mergeCell ref="AG32:AG35"/>
    <mergeCell ref="E36:U36"/>
    <mergeCell ref="E28:R28"/>
    <mergeCell ref="AD20:AD22"/>
    <mergeCell ref="AE20:AE22"/>
    <mergeCell ref="AF20:AF22"/>
    <mergeCell ref="AG20:AG22"/>
    <mergeCell ref="E21:E22"/>
    <mergeCell ref="F21:F22"/>
    <mergeCell ref="G21:G22"/>
    <mergeCell ref="M21:M22"/>
    <mergeCell ref="AD23:AD25"/>
    <mergeCell ref="AE23:AE25"/>
    <mergeCell ref="AF23:AF25"/>
    <mergeCell ref="AG23:AG25"/>
    <mergeCell ref="E26:T26"/>
    <mergeCell ref="AF14:AF15"/>
    <mergeCell ref="AG14:AG15"/>
    <mergeCell ref="E16:T16"/>
    <mergeCell ref="AD17:AD18"/>
    <mergeCell ref="AE17:AE18"/>
    <mergeCell ref="AF17:AF18"/>
    <mergeCell ref="AG17:AG18"/>
    <mergeCell ref="AE14:AE15"/>
    <mergeCell ref="B12:B18"/>
    <mergeCell ref="C12:C19"/>
    <mergeCell ref="D12:D19"/>
    <mergeCell ref="E13:T13"/>
    <mergeCell ref="AD14:AD15"/>
    <mergeCell ref="E19:T19"/>
    <mergeCell ref="AD9:AD12"/>
    <mergeCell ref="U7:U8"/>
    <mergeCell ref="AE9:AE12"/>
    <mergeCell ref="AF9:AF12"/>
    <mergeCell ref="AG9:AG12"/>
    <mergeCell ref="W7:W8"/>
    <mergeCell ref="X7:X8"/>
    <mergeCell ref="Y7:Y8"/>
    <mergeCell ref="Z7:Z8"/>
    <mergeCell ref="AA7:AA8"/>
    <mergeCell ref="AB7:AB8"/>
    <mergeCell ref="AC7:AC8"/>
    <mergeCell ref="AD7:AD8"/>
    <mergeCell ref="AE7:AE8"/>
    <mergeCell ref="AF7:AF8"/>
    <mergeCell ref="AG7:AG8"/>
    <mergeCell ref="P7:P8"/>
    <mergeCell ref="Q7:Q8"/>
    <mergeCell ref="R7:R8"/>
    <mergeCell ref="S7:S8"/>
    <mergeCell ref="T7:T8"/>
    <mergeCell ref="A6:AD6"/>
    <mergeCell ref="A7:A8"/>
    <mergeCell ref="B7:B8"/>
    <mergeCell ref="C7:C8"/>
    <mergeCell ref="D7:D8"/>
    <mergeCell ref="E7:E8"/>
    <mergeCell ref="F7:F8"/>
    <mergeCell ref="G7:G8"/>
    <mergeCell ref="H7:H8"/>
    <mergeCell ref="I7:I8"/>
    <mergeCell ref="V7:V8"/>
    <mergeCell ref="J7:J8"/>
    <mergeCell ref="K7:K8"/>
    <mergeCell ref="L7:L8"/>
    <mergeCell ref="M7:N7"/>
    <mergeCell ref="O7:O8"/>
    <mergeCell ref="A5:B5"/>
    <mergeCell ref="C5:AD5"/>
    <mergeCell ref="A1:B4"/>
    <mergeCell ref="C1:AD1"/>
    <mergeCell ref="C2:AD2"/>
    <mergeCell ref="C3:AD3"/>
    <mergeCell ref="C4:AD4"/>
  </mergeCells>
  <dataValidations count="1">
    <dataValidation type="list" allowBlank="1" showInputMessage="1" showErrorMessage="1" sqref="N42 N9:N12 N44:N300 N17:N18" xr:uid="{9D60D8AE-C0D5-484B-AF0F-4C5421B8A477}">
      <formula1>$AE$10:$AE$11</formula1>
    </dataValidation>
  </dataValidation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ABE6-F4EA-45F9-ADAA-4CB5BFBA87FF}">
  <dimension ref="F3:H16"/>
  <sheetViews>
    <sheetView topLeftCell="A3" workbookViewId="0">
      <selection activeCell="F3" sqref="F3:H15"/>
    </sheetView>
  </sheetViews>
  <sheetFormatPr baseColWidth="10" defaultRowHeight="13.8"/>
  <cols>
    <col min="6" max="6" width="9.796875" customWidth="1"/>
    <col min="7" max="7" width="34.69921875" customWidth="1"/>
    <col min="8" max="8" width="15" customWidth="1"/>
  </cols>
  <sheetData>
    <row r="3" spans="6:8" ht="27.6">
      <c r="F3" s="381" t="s">
        <v>771</v>
      </c>
      <c r="G3" s="381" t="s">
        <v>33</v>
      </c>
      <c r="H3" s="383" t="s">
        <v>772</v>
      </c>
    </row>
    <row r="4" spans="6:8">
      <c r="F4" s="206">
        <v>1</v>
      </c>
      <c r="G4" s="379" t="s">
        <v>761</v>
      </c>
      <c r="H4" s="382">
        <v>1476</v>
      </c>
    </row>
    <row r="5" spans="6:8">
      <c r="F5" s="206">
        <v>2</v>
      </c>
      <c r="G5" s="378" t="s">
        <v>762</v>
      </c>
      <c r="H5" s="382">
        <v>1000</v>
      </c>
    </row>
    <row r="6" spans="6:8">
      <c r="F6" s="206">
        <v>3</v>
      </c>
      <c r="G6" s="378" t="s">
        <v>763</v>
      </c>
      <c r="H6" s="382">
        <v>1500</v>
      </c>
    </row>
    <row r="7" spans="6:8" ht="41.4">
      <c r="F7" s="206">
        <v>4</v>
      </c>
      <c r="G7" s="379" t="s">
        <v>773</v>
      </c>
      <c r="H7" s="382">
        <v>1000</v>
      </c>
    </row>
    <row r="8" spans="6:8">
      <c r="F8" s="206">
        <v>5</v>
      </c>
      <c r="G8" s="378" t="s">
        <v>766</v>
      </c>
      <c r="H8" s="382">
        <v>1000</v>
      </c>
    </row>
    <row r="9" spans="6:8">
      <c r="F9" s="206">
        <v>6</v>
      </c>
      <c r="G9" s="378" t="s">
        <v>764</v>
      </c>
      <c r="H9" s="382">
        <v>900</v>
      </c>
    </row>
    <row r="10" spans="6:8">
      <c r="F10" s="206">
        <v>7</v>
      </c>
      <c r="G10" s="378" t="s">
        <v>765</v>
      </c>
      <c r="H10" s="382">
        <v>500</v>
      </c>
    </row>
    <row r="11" spans="6:8">
      <c r="F11" s="206">
        <v>8</v>
      </c>
      <c r="G11" s="378" t="s">
        <v>767</v>
      </c>
      <c r="H11" s="382">
        <v>800</v>
      </c>
    </row>
    <row r="12" spans="6:8">
      <c r="F12" s="206">
        <v>9</v>
      </c>
      <c r="G12" s="378" t="s">
        <v>768</v>
      </c>
      <c r="H12" s="382">
        <v>700</v>
      </c>
    </row>
    <row r="13" spans="6:8">
      <c r="F13" s="206">
        <v>10</v>
      </c>
      <c r="G13" s="378" t="s">
        <v>769</v>
      </c>
      <c r="H13" s="382">
        <v>400</v>
      </c>
    </row>
    <row r="14" spans="6:8" ht="27.6">
      <c r="F14" s="206">
        <v>11</v>
      </c>
      <c r="G14" s="379" t="s">
        <v>770</v>
      </c>
      <c r="H14" s="382">
        <v>3200</v>
      </c>
    </row>
    <row r="15" spans="6:8">
      <c r="F15" s="465" t="s">
        <v>774</v>
      </c>
      <c r="G15" s="466"/>
      <c r="H15" s="380">
        <f>SUM(H4:H14)</f>
        <v>12476</v>
      </c>
    </row>
    <row r="16" spans="6:8">
      <c r="H16" s="377"/>
    </row>
  </sheetData>
  <mergeCells count="1">
    <mergeCell ref="F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S11" zoomScale="70" zoomScaleNormal="70" workbookViewId="0">
      <selection activeCell="M8" sqref="M8"/>
    </sheetView>
  </sheetViews>
  <sheetFormatPr baseColWidth="10" defaultColWidth="11" defaultRowHeight="10.199999999999999"/>
  <cols>
    <col min="1" max="1" width="20.8984375" style="111" customWidth="1"/>
    <col min="2" max="2" width="30.69921875" style="111" customWidth="1"/>
    <col min="3" max="3" width="33.69921875" style="111" customWidth="1"/>
    <col min="4" max="4" width="32" style="111" customWidth="1"/>
    <col min="5" max="6" width="28.69921875" style="111" customWidth="1"/>
    <col min="7" max="7" width="41.3984375" style="111" customWidth="1"/>
    <col min="8" max="8" width="45.59765625" style="111" customWidth="1"/>
    <col min="9" max="9" width="48.59765625" style="111" customWidth="1"/>
    <col min="10" max="10" width="48.69921875" style="111" customWidth="1"/>
    <col min="11" max="11" width="38.8984375" style="111" customWidth="1"/>
    <col min="12" max="12" width="45.8984375" style="111" customWidth="1"/>
    <col min="13" max="13" width="57.69921875" style="111" customWidth="1"/>
    <col min="14" max="14" width="65.69921875" style="111" customWidth="1"/>
    <col min="15" max="16" width="11" style="111"/>
    <col min="17" max="17" width="0" style="111" hidden="1" customWidth="1"/>
    <col min="18" max="16384" width="11" style="111"/>
  </cols>
  <sheetData>
    <row r="1" spans="1:17" s="1" customFormat="1" ht="13.8">
      <c r="A1" s="477"/>
      <c r="B1" s="478"/>
      <c r="C1" s="409" t="s">
        <v>0</v>
      </c>
      <c r="D1" s="483"/>
      <c r="E1" s="483"/>
      <c r="F1" s="483"/>
      <c r="G1" s="483"/>
      <c r="H1" s="483"/>
      <c r="I1" s="483"/>
      <c r="J1" s="483"/>
      <c r="K1" s="483"/>
      <c r="L1" s="483"/>
      <c r="M1" s="410"/>
      <c r="N1" s="112" t="s">
        <v>101</v>
      </c>
    </row>
    <row r="2" spans="1:17" s="1" customFormat="1" ht="13.8">
      <c r="A2" s="479"/>
      <c r="B2" s="480"/>
      <c r="C2" s="409" t="s">
        <v>1</v>
      </c>
      <c r="D2" s="483"/>
      <c r="E2" s="483"/>
      <c r="F2" s="483"/>
      <c r="G2" s="483"/>
      <c r="H2" s="483"/>
      <c r="I2" s="483"/>
      <c r="J2" s="483"/>
      <c r="K2" s="483"/>
      <c r="L2" s="483"/>
      <c r="M2" s="410"/>
      <c r="N2" s="112" t="s">
        <v>2</v>
      </c>
    </row>
    <row r="3" spans="1:17" s="1" customFormat="1" ht="13.8">
      <c r="A3" s="479"/>
      <c r="B3" s="480"/>
      <c r="C3" s="409" t="s">
        <v>3</v>
      </c>
      <c r="D3" s="483"/>
      <c r="E3" s="483"/>
      <c r="F3" s="483"/>
      <c r="G3" s="483"/>
      <c r="H3" s="483"/>
      <c r="I3" s="483"/>
      <c r="J3" s="483"/>
      <c r="K3" s="483"/>
      <c r="L3" s="483"/>
      <c r="M3" s="410"/>
      <c r="N3" s="112" t="s">
        <v>100</v>
      </c>
    </row>
    <row r="4" spans="1:17" s="1" customFormat="1" ht="13.8">
      <c r="A4" s="481"/>
      <c r="B4" s="482"/>
      <c r="C4" s="409" t="s">
        <v>79</v>
      </c>
      <c r="D4" s="483"/>
      <c r="E4" s="483"/>
      <c r="F4" s="483"/>
      <c r="G4" s="483"/>
      <c r="H4" s="483"/>
      <c r="I4" s="483"/>
      <c r="J4" s="483"/>
      <c r="K4" s="483"/>
      <c r="L4" s="483"/>
      <c r="M4" s="410"/>
      <c r="N4" s="112" t="s">
        <v>102</v>
      </c>
    </row>
    <row r="5" spans="1:17" s="1" customFormat="1" ht="13.8">
      <c r="A5" s="475" t="s">
        <v>4</v>
      </c>
      <c r="B5" s="476"/>
      <c r="C5" s="475"/>
      <c r="D5" s="484"/>
      <c r="E5" s="484"/>
      <c r="F5" s="484"/>
      <c r="G5" s="484"/>
      <c r="H5" s="484"/>
      <c r="I5" s="484"/>
      <c r="J5" s="484"/>
      <c r="K5" s="484"/>
      <c r="L5" s="484"/>
      <c r="M5" s="484"/>
      <c r="N5" s="484"/>
    </row>
    <row r="6" spans="1:17" s="1" customFormat="1" ht="13.8">
      <c r="A6" s="471" t="s">
        <v>75</v>
      </c>
      <c r="B6" s="471"/>
      <c r="C6" s="471"/>
      <c r="D6" s="471"/>
      <c r="E6" s="471"/>
      <c r="F6" s="471"/>
      <c r="G6" s="471"/>
      <c r="H6" s="471"/>
      <c r="I6" s="471"/>
      <c r="J6" s="471"/>
      <c r="K6" s="471"/>
      <c r="L6" s="472"/>
      <c r="M6" s="467" t="s">
        <v>61</v>
      </c>
      <c r="N6" s="468"/>
    </row>
    <row r="7" spans="1:17" s="1" customFormat="1" ht="13.8">
      <c r="A7" s="473"/>
      <c r="B7" s="473"/>
      <c r="C7" s="473"/>
      <c r="D7" s="473"/>
      <c r="E7" s="473"/>
      <c r="F7" s="473"/>
      <c r="G7" s="473"/>
      <c r="H7" s="473"/>
      <c r="I7" s="473"/>
      <c r="J7" s="473"/>
      <c r="K7" s="473"/>
      <c r="L7" s="474"/>
      <c r="M7" s="469"/>
      <c r="N7" s="470"/>
    </row>
    <row r="8" spans="1:17" s="10" customFormat="1" ht="27.6">
      <c r="A8" s="113" t="s">
        <v>65</v>
      </c>
      <c r="B8" s="113" t="s">
        <v>93</v>
      </c>
      <c r="C8" s="113" t="s">
        <v>91</v>
      </c>
      <c r="D8" s="113" t="s">
        <v>51</v>
      </c>
      <c r="E8" s="113" t="s">
        <v>52</v>
      </c>
      <c r="F8" s="113" t="s">
        <v>53</v>
      </c>
      <c r="G8" s="113" t="s">
        <v>86</v>
      </c>
      <c r="H8" s="113" t="s">
        <v>88</v>
      </c>
      <c r="I8" s="113" t="s">
        <v>87</v>
      </c>
      <c r="J8" s="113" t="s">
        <v>78</v>
      </c>
      <c r="K8" s="113" t="s">
        <v>62</v>
      </c>
      <c r="L8" s="113" t="s">
        <v>54</v>
      </c>
      <c r="M8" s="113" t="s">
        <v>21</v>
      </c>
      <c r="N8" s="113" t="s">
        <v>22</v>
      </c>
    </row>
    <row r="9" spans="1:17" s="197" customFormat="1" ht="150">
      <c r="A9" s="23" t="s">
        <v>170</v>
      </c>
      <c r="B9" s="191" t="s">
        <v>250</v>
      </c>
      <c r="C9" s="191" t="s">
        <v>252</v>
      </c>
      <c r="D9" s="192" t="s">
        <v>413</v>
      </c>
      <c r="E9" s="193" t="s">
        <v>414</v>
      </c>
      <c r="F9" s="192" t="s">
        <v>415</v>
      </c>
      <c r="G9" s="194" t="s">
        <v>429</v>
      </c>
      <c r="H9" s="195" t="s">
        <v>430</v>
      </c>
      <c r="I9" s="196" t="s">
        <v>418</v>
      </c>
      <c r="J9" s="196" t="s">
        <v>419</v>
      </c>
      <c r="K9" s="192" t="s">
        <v>253</v>
      </c>
      <c r="L9" s="192" t="s">
        <v>506</v>
      </c>
      <c r="M9" s="192" t="s">
        <v>420</v>
      </c>
      <c r="N9" s="192" t="s">
        <v>421</v>
      </c>
    </row>
    <row r="10" spans="1:17" s="197" customFormat="1" ht="150">
      <c r="A10" s="23" t="s">
        <v>170</v>
      </c>
      <c r="B10" s="191" t="s">
        <v>250</v>
      </c>
      <c r="C10" s="191" t="s">
        <v>252</v>
      </c>
      <c r="D10" s="192" t="s">
        <v>413</v>
      </c>
      <c r="E10" s="193" t="s">
        <v>414</v>
      </c>
      <c r="F10" s="192" t="s">
        <v>415</v>
      </c>
      <c r="G10" s="194" t="s">
        <v>429</v>
      </c>
      <c r="H10" s="195" t="s">
        <v>430</v>
      </c>
      <c r="I10" s="196" t="s">
        <v>418</v>
      </c>
      <c r="J10" s="196" t="s">
        <v>419</v>
      </c>
      <c r="K10" s="192" t="s">
        <v>253</v>
      </c>
      <c r="L10" s="192" t="s">
        <v>506</v>
      </c>
      <c r="M10" s="192" t="s">
        <v>422</v>
      </c>
      <c r="N10" s="192" t="s">
        <v>423</v>
      </c>
    </row>
    <row r="11" spans="1:17" s="197" customFormat="1" ht="150">
      <c r="A11" s="23" t="s">
        <v>170</v>
      </c>
      <c r="B11" s="191" t="s">
        <v>250</v>
      </c>
      <c r="C11" s="191" t="s">
        <v>252</v>
      </c>
      <c r="D11" s="192" t="s">
        <v>413</v>
      </c>
      <c r="E11" s="193" t="s">
        <v>414</v>
      </c>
      <c r="F11" s="192" t="s">
        <v>415</v>
      </c>
      <c r="G11" s="194" t="s">
        <v>429</v>
      </c>
      <c r="H11" s="195" t="s">
        <v>430</v>
      </c>
      <c r="I11" s="196" t="s">
        <v>418</v>
      </c>
      <c r="J11" s="193" t="s">
        <v>419</v>
      </c>
      <c r="K11" s="192" t="s">
        <v>253</v>
      </c>
      <c r="L11" s="192" t="s">
        <v>506</v>
      </c>
      <c r="M11" s="192" t="s">
        <v>426</v>
      </c>
      <c r="N11" s="192" t="s">
        <v>427</v>
      </c>
      <c r="Q11" s="197" t="s">
        <v>55</v>
      </c>
    </row>
    <row r="12" spans="1:17" s="197" customFormat="1" ht="150">
      <c r="A12" s="23" t="s">
        <v>170</v>
      </c>
      <c r="B12" s="191" t="s">
        <v>250</v>
      </c>
      <c r="C12" s="191" t="s">
        <v>252</v>
      </c>
      <c r="D12" s="192" t="s">
        <v>413</v>
      </c>
      <c r="E12" s="193" t="s">
        <v>414</v>
      </c>
      <c r="F12" s="192" t="s">
        <v>415</v>
      </c>
      <c r="G12" s="194" t="s">
        <v>429</v>
      </c>
      <c r="H12" s="195" t="s">
        <v>430</v>
      </c>
      <c r="I12" s="196" t="s">
        <v>418</v>
      </c>
      <c r="J12" s="193" t="s">
        <v>419</v>
      </c>
      <c r="K12" s="192" t="s">
        <v>253</v>
      </c>
      <c r="L12" s="192" t="s">
        <v>506</v>
      </c>
      <c r="M12" s="192" t="s">
        <v>507</v>
      </c>
      <c r="N12" s="192" t="s">
        <v>428</v>
      </c>
    </row>
    <row r="13" spans="1:17" s="197" customFormat="1" ht="150">
      <c r="A13" s="23" t="s">
        <v>170</v>
      </c>
      <c r="B13" s="191" t="s">
        <v>250</v>
      </c>
      <c r="C13" s="191" t="s">
        <v>252</v>
      </c>
      <c r="D13" s="192" t="s">
        <v>413</v>
      </c>
      <c r="E13" s="193" t="s">
        <v>414</v>
      </c>
      <c r="F13" s="192" t="s">
        <v>415</v>
      </c>
      <c r="G13" s="194" t="s">
        <v>424</v>
      </c>
      <c r="H13" s="194" t="s">
        <v>425</v>
      </c>
      <c r="I13" s="196" t="s">
        <v>418</v>
      </c>
      <c r="J13" s="196" t="s">
        <v>419</v>
      </c>
      <c r="K13" s="192" t="s">
        <v>253</v>
      </c>
      <c r="L13" s="192" t="s">
        <v>506</v>
      </c>
      <c r="M13" s="192" t="s">
        <v>431</v>
      </c>
      <c r="N13" s="192" t="s">
        <v>432</v>
      </c>
      <c r="Q13" s="197" t="s">
        <v>56</v>
      </c>
    </row>
    <row r="14" spans="1:17" s="197" customFormat="1" ht="150">
      <c r="A14" s="23" t="s">
        <v>170</v>
      </c>
      <c r="B14" s="191" t="s">
        <v>250</v>
      </c>
      <c r="C14" s="191" t="s">
        <v>252</v>
      </c>
      <c r="D14" s="192" t="s">
        <v>413</v>
      </c>
      <c r="E14" s="193" t="s">
        <v>414</v>
      </c>
      <c r="F14" s="192" t="s">
        <v>415</v>
      </c>
      <c r="G14" s="194" t="s">
        <v>424</v>
      </c>
      <c r="H14" s="194" t="s">
        <v>425</v>
      </c>
      <c r="I14" s="196" t="s">
        <v>418</v>
      </c>
      <c r="J14" s="196" t="s">
        <v>419</v>
      </c>
      <c r="K14" s="192" t="s">
        <v>253</v>
      </c>
      <c r="L14" s="192" t="s">
        <v>506</v>
      </c>
      <c r="M14" s="198" t="s">
        <v>433</v>
      </c>
      <c r="N14" s="192" t="s">
        <v>434</v>
      </c>
    </row>
    <row r="15" spans="1:17" s="197" customFormat="1" ht="150">
      <c r="A15" s="23" t="s">
        <v>171</v>
      </c>
      <c r="B15" s="191" t="s">
        <v>250</v>
      </c>
      <c r="C15" s="191" t="s">
        <v>252</v>
      </c>
      <c r="D15" s="192" t="s">
        <v>413</v>
      </c>
      <c r="E15" s="193" t="s">
        <v>414</v>
      </c>
      <c r="F15" s="192" t="s">
        <v>415</v>
      </c>
      <c r="G15" s="195" t="s">
        <v>416</v>
      </c>
      <c r="H15" s="194" t="s">
        <v>417</v>
      </c>
      <c r="I15" s="196" t="s">
        <v>418</v>
      </c>
      <c r="J15" s="196" t="s">
        <v>419</v>
      </c>
      <c r="K15" s="192" t="s">
        <v>253</v>
      </c>
      <c r="L15" s="192" t="s">
        <v>506</v>
      </c>
      <c r="M15" s="192" t="s">
        <v>435</v>
      </c>
      <c r="N15" s="192" t="s">
        <v>436</v>
      </c>
      <c r="Q15" s="197" t="s">
        <v>57</v>
      </c>
    </row>
    <row r="16" spans="1:17" s="114" customFormat="1" ht="225">
      <c r="A16" s="23" t="s">
        <v>172</v>
      </c>
      <c r="B16" s="136" t="s">
        <v>250</v>
      </c>
      <c r="C16" s="136" t="s">
        <v>252</v>
      </c>
      <c r="D16" s="140" t="s">
        <v>437</v>
      </c>
      <c r="E16" s="140" t="s">
        <v>414</v>
      </c>
      <c r="F16" s="139" t="s">
        <v>438</v>
      </c>
      <c r="G16" s="116" t="s">
        <v>439</v>
      </c>
      <c r="H16" s="199" t="s">
        <v>440</v>
      </c>
      <c r="I16" s="140" t="s">
        <v>441</v>
      </c>
      <c r="J16" s="140" t="s">
        <v>419</v>
      </c>
      <c r="K16" s="139" t="s">
        <v>254</v>
      </c>
      <c r="L16" s="192" t="s">
        <v>506</v>
      </c>
      <c r="M16" s="136" t="s">
        <v>442</v>
      </c>
      <c r="N16" s="136" t="s">
        <v>443</v>
      </c>
      <c r="Q16" s="114" t="s">
        <v>58</v>
      </c>
    </row>
    <row r="17" spans="1:14" s="114" customFormat="1" ht="225">
      <c r="A17" s="23" t="s">
        <v>172</v>
      </c>
      <c r="B17" s="200" t="s">
        <v>250</v>
      </c>
      <c r="C17" s="136" t="s">
        <v>252</v>
      </c>
      <c r="D17" s="140" t="s">
        <v>437</v>
      </c>
      <c r="E17" s="140" t="s">
        <v>414</v>
      </c>
      <c r="F17" s="139" t="s">
        <v>438</v>
      </c>
      <c r="G17" s="116" t="s">
        <v>444</v>
      </c>
      <c r="H17" s="199" t="s">
        <v>445</v>
      </c>
      <c r="I17" s="140" t="s">
        <v>441</v>
      </c>
      <c r="J17" s="140" t="s">
        <v>419</v>
      </c>
      <c r="K17" s="139" t="s">
        <v>254</v>
      </c>
      <c r="L17" s="192" t="s">
        <v>506</v>
      </c>
      <c r="M17" s="136" t="s">
        <v>442</v>
      </c>
      <c r="N17" s="136" t="s">
        <v>443</v>
      </c>
    </row>
    <row r="18" spans="1:14" s="114" customFormat="1" ht="225">
      <c r="A18" s="23" t="s">
        <v>172</v>
      </c>
      <c r="B18" s="136" t="s">
        <v>250</v>
      </c>
      <c r="C18" s="136" t="s">
        <v>252</v>
      </c>
      <c r="D18" s="140" t="s">
        <v>437</v>
      </c>
      <c r="E18" s="140" t="s">
        <v>414</v>
      </c>
      <c r="F18" s="139" t="s">
        <v>438</v>
      </c>
      <c r="G18" s="116" t="s">
        <v>446</v>
      </c>
      <c r="H18" s="199" t="s">
        <v>447</v>
      </c>
      <c r="I18" s="140" t="s">
        <v>441</v>
      </c>
      <c r="J18" s="140" t="s">
        <v>419</v>
      </c>
      <c r="K18" s="139" t="s">
        <v>254</v>
      </c>
      <c r="L18" s="192" t="s">
        <v>506</v>
      </c>
      <c r="M18" s="136" t="s">
        <v>442</v>
      </c>
      <c r="N18" s="139" t="s">
        <v>443</v>
      </c>
    </row>
    <row r="19" spans="1:14" s="114" customFormat="1" ht="105">
      <c r="A19" s="23" t="s">
        <v>173</v>
      </c>
      <c r="B19" s="139" t="s">
        <v>250</v>
      </c>
      <c r="C19" s="200" t="s">
        <v>252</v>
      </c>
      <c r="D19" s="136" t="s">
        <v>448</v>
      </c>
      <c r="E19" s="140" t="s">
        <v>414</v>
      </c>
      <c r="F19" s="201" t="s">
        <v>449</v>
      </c>
      <c r="G19" s="137" t="s">
        <v>450</v>
      </c>
      <c r="H19" s="199" t="s">
        <v>451</v>
      </c>
      <c r="I19" s="140" t="s">
        <v>452</v>
      </c>
      <c r="J19" s="140" t="s">
        <v>453</v>
      </c>
      <c r="K19" s="139" t="s">
        <v>255</v>
      </c>
      <c r="L19" s="192" t="s">
        <v>506</v>
      </c>
      <c r="M19" s="136" t="s">
        <v>454</v>
      </c>
      <c r="N19" s="136" t="s">
        <v>455</v>
      </c>
    </row>
    <row r="20" spans="1:14" s="114" customFormat="1" ht="105">
      <c r="A20" s="23" t="s">
        <v>173</v>
      </c>
      <c r="B20" s="139" t="s">
        <v>250</v>
      </c>
      <c r="C20" s="200" t="s">
        <v>252</v>
      </c>
      <c r="D20" s="136" t="s">
        <v>448</v>
      </c>
      <c r="E20" s="140" t="s">
        <v>414</v>
      </c>
      <c r="F20" s="201" t="s">
        <v>438</v>
      </c>
      <c r="G20" s="137" t="s">
        <v>456</v>
      </c>
      <c r="H20" s="199" t="s">
        <v>457</v>
      </c>
      <c r="I20" s="140" t="s">
        <v>418</v>
      </c>
      <c r="J20" s="140" t="s">
        <v>453</v>
      </c>
      <c r="K20" s="139" t="s">
        <v>255</v>
      </c>
      <c r="L20" s="192" t="s">
        <v>506</v>
      </c>
      <c r="M20" s="136" t="s">
        <v>454</v>
      </c>
      <c r="N20" s="136" t="s">
        <v>455</v>
      </c>
    </row>
    <row r="21" spans="1:14" s="114" customFormat="1" ht="110.4">
      <c r="A21" s="23" t="s">
        <v>172</v>
      </c>
      <c r="B21" s="141" t="s">
        <v>250</v>
      </c>
      <c r="C21" s="136" t="s">
        <v>252</v>
      </c>
      <c r="D21" s="140" t="s">
        <v>437</v>
      </c>
      <c r="E21" s="140" t="s">
        <v>414</v>
      </c>
      <c r="F21" s="139" t="s">
        <v>438</v>
      </c>
      <c r="G21" s="137" t="s">
        <v>458</v>
      </c>
      <c r="H21" s="199" t="s">
        <v>459</v>
      </c>
      <c r="I21" s="139" t="s">
        <v>441</v>
      </c>
      <c r="J21" s="140" t="s">
        <v>453</v>
      </c>
      <c r="K21" s="139" t="s">
        <v>256</v>
      </c>
      <c r="L21" s="192" t="s">
        <v>506</v>
      </c>
      <c r="M21" s="136" t="s">
        <v>460</v>
      </c>
      <c r="N21" s="136" t="s">
        <v>461</v>
      </c>
    </row>
    <row r="22" spans="1:14" s="114" customFormat="1" ht="110.4">
      <c r="A22" s="23" t="s">
        <v>172</v>
      </c>
      <c r="B22" s="141" t="s">
        <v>250</v>
      </c>
      <c r="C22" s="136" t="s">
        <v>252</v>
      </c>
      <c r="D22" s="140" t="s">
        <v>437</v>
      </c>
      <c r="E22" s="140" t="s">
        <v>414</v>
      </c>
      <c r="F22" s="139" t="s">
        <v>438</v>
      </c>
      <c r="G22" s="137" t="s">
        <v>462</v>
      </c>
      <c r="H22" s="199" t="s">
        <v>463</v>
      </c>
      <c r="I22" s="139" t="s">
        <v>441</v>
      </c>
      <c r="J22" s="140" t="s">
        <v>453</v>
      </c>
      <c r="K22" s="139" t="s">
        <v>256</v>
      </c>
      <c r="L22" s="192" t="s">
        <v>506</v>
      </c>
      <c r="M22" s="136" t="s">
        <v>460</v>
      </c>
      <c r="N22" s="136" t="s">
        <v>461</v>
      </c>
    </row>
    <row r="23" spans="1:14" s="114" customFormat="1" ht="135">
      <c r="A23" s="23" t="s">
        <v>172</v>
      </c>
      <c r="B23" s="139" t="s">
        <v>250</v>
      </c>
      <c r="C23" s="140" t="s">
        <v>252</v>
      </c>
      <c r="D23" s="139" t="s">
        <v>464</v>
      </c>
      <c r="E23" s="140" t="s">
        <v>414</v>
      </c>
      <c r="F23" s="139" t="s">
        <v>438</v>
      </c>
      <c r="G23" s="139" t="s">
        <v>465</v>
      </c>
      <c r="H23" s="139" t="s">
        <v>466</v>
      </c>
      <c r="I23" s="140" t="s">
        <v>441</v>
      </c>
      <c r="J23" s="140" t="s">
        <v>453</v>
      </c>
      <c r="K23" s="136" t="s">
        <v>257</v>
      </c>
      <c r="L23" s="192" t="s">
        <v>506</v>
      </c>
      <c r="M23" s="139" t="s">
        <v>467</v>
      </c>
      <c r="N23" s="139" t="s">
        <v>468</v>
      </c>
    </row>
    <row r="24" spans="1:14" s="114" customFormat="1" ht="225">
      <c r="A24" s="23" t="s">
        <v>172</v>
      </c>
      <c r="B24" s="139" t="s">
        <v>250</v>
      </c>
      <c r="C24" s="140" t="s">
        <v>252</v>
      </c>
      <c r="D24" s="140" t="s">
        <v>437</v>
      </c>
      <c r="E24" s="139" t="s">
        <v>414</v>
      </c>
      <c r="F24" s="139" t="s">
        <v>438</v>
      </c>
      <c r="G24" s="136" t="s">
        <v>469</v>
      </c>
      <c r="H24" s="136" t="s">
        <v>470</v>
      </c>
      <c r="I24" s="140" t="s">
        <v>441</v>
      </c>
      <c r="J24" s="138" t="s">
        <v>453</v>
      </c>
      <c r="K24" s="136" t="s">
        <v>257</v>
      </c>
      <c r="L24" s="192" t="s">
        <v>506</v>
      </c>
      <c r="M24" s="139" t="s">
        <v>471</v>
      </c>
      <c r="N24" s="139" t="s">
        <v>472</v>
      </c>
    </row>
    <row r="25" spans="1:14" s="114" customFormat="1" ht="110.4">
      <c r="A25" s="23" t="s">
        <v>172</v>
      </c>
      <c r="B25" s="139" t="s">
        <v>250</v>
      </c>
      <c r="C25" s="140" t="s">
        <v>252</v>
      </c>
      <c r="D25" s="140" t="s">
        <v>437</v>
      </c>
      <c r="E25" s="139" t="s">
        <v>414</v>
      </c>
      <c r="F25" s="139" t="s">
        <v>438</v>
      </c>
      <c r="G25" s="136" t="s">
        <v>469</v>
      </c>
      <c r="H25" s="136" t="s">
        <v>470</v>
      </c>
      <c r="I25" s="140" t="s">
        <v>441</v>
      </c>
      <c r="J25" s="138" t="s">
        <v>453</v>
      </c>
      <c r="K25" s="136" t="s">
        <v>257</v>
      </c>
      <c r="L25" s="192" t="s">
        <v>506</v>
      </c>
      <c r="M25" s="136" t="s">
        <v>473</v>
      </c>
      <c r="N25" s="139" t="s">
        <v>474</v>
      </c>
    </row>
    <row r="26" spans="1:14" s="114" customFormat="1" ht="110.4">
      <c r="A26" s="23" t="s">
        <v>172</v>
      </c>
      <c r="B26" s="139" t="s">
        <v>250</v>
      </c>
      <c r="C26" s="139" t="s">
        <v>252</v>
      </c>
      <c r="D26" s="140" t="s">
        <v>437</v>
      </c>
      <c r="E26" s="140" t="s">
        <v>414</v>
      </c>
      <c r="F26" s="139" t="s">
        <v>438</v>
      </c>
      <c r="G26" s="139" t="s">
        <v>475</v>
      </c>
      <c r="H26" s="139" t="s">
        <v>476</v>
      </c>
      <c r="I26" s="140" t="s">
        <v>441</v>
      </c>
      <c r="J26" s="140" t="s">
        <v>453</v>
      </c>
      <c r="K26" s="139" t="s">
        <v>258</v>
      </c>
      <c r="L26" s="192" t="s">
        <v>506</v>
      </c>
      <c r="M26" s="136" t="s">
        <v>477</v>
      </c>
      <c r="N26" s="139" t="s">
        <v>478</v>
      </c>
    </row>
    <row r="27" spans="1:14" s="114" customFormat="1" ht="180">
      <c r="A27" s="23" t="s">
        <v>174</v>
      </c>
      <c r="B27" s="139" t="s">
        <v>250</v>
      </c>
      <c r="C27" s="139" t="s">
        <v>252</v>
      </c>
      <c r="D27" s="139" t="s">
        <v>479</v>
      </c>
      <c r="E27" s="140" t="s">
        <v>414</v>
      </c>
      <c r="F27" s="115" t="s">
        <v>480</v>
      </c>
      <c r="G27" s="139" t="s">
        <v>481</v>
      </c>
      <c r="H27" s="139" t="s">
        <v>482</v>
      </c>
      <c r="I27" s="140" t="s">
        <v>441</v>
      </c>
      <c r="J27" s="140" t="s">
        <v>453</v>
      </c>
      <c r="K27" s="139" t="s">
        <v>259</v>
      </c>
      <c r="L27" s="192" t="s">
        <v>506</v>
      </c>
      <c r="M27" s="136" t="s">
        <v>483</v>
      </c>
      <c r="N27" s="137" t="s">
        <v>484</v>
      </c>
    </row>
    <row r="28" spans="1:14" s="114" customFormat="1" ht="180">
      <c r="A28" s="23" t="s">
        <v>174</v>
      </c>
      <c r="B28" s="139" t="s">
        <v>250</v>
      </c>
      <c r="C28" s="139" t="s">
        <v>252</v>
      </c>
      <c r="D28" s="139" t="s">
        <v>479</v>
      </c>
      <c r="E28" s="140" t="s">
        <v>414</v>
      </c>
      <c r="F28" s="139" t="s">
        <v>485</v>
      </c>
      <c r="G28" s="139" t="s">
        <v>486</v>
      </c>
      <c r="H28" s="139" t="s">
        <v>487</v>
      </c>
      <c r="I28" s="140" t="s">
        <v>441</v>
      </c>
      <c r="J28" s="140" t="s">
        <v>453</v>
      </c>
      <c r="K28" s="139" t="s">
        <v>260</v>
      </c>
      <c r="L28" s="192" t="s">
        <v>506</v>
      </c>
      <c r="M28" s="139" t="s">
        <v>488</v>
      </c>
      <c r="N28" s="137" t="s">
        <v>489</v>
      </c>
    </row>
    <row r="29" spans="1:14" s="114" customFormat="1" ht="110.4">
      <c r="A29" s="23" t="s">
        <v>172</v>
      </c>
      <c r="B29" s="136" t="s">
        <v>251</v>
      </c>
      <c r="C29" s="138" t="s">
        <v>252</v>
      </c>
      <c r="D29" s="140" t="s">
        <v>437</v>
      </c>
      <c r="E29" s="136" t="s">
        <v>414</v>
      </c>
      <c r="F29" s="136" t="s">
        <v>438</v>
      </c>
      <c r="G29" s="139" t="s">
        <v>490</v>
      </c>
      <c r="H29" s="136" t="s">
        <v>491</v>
      </c>
      <c r="I29" s="138" t="s">
        <v>441</v>
      </c>
      <c r="J29" s="138" t="s">
        <v>453</v>
      </c>
      <c r="K29" s="139" t="s">
        <v>261</v>
      </c>
      <c r="L29" s="192" t="s">
        <v>506</v>
      </c>
      <c r="M29" s="136" t="s">
        <v>492</v>
      </c>
      <c r="N29" s="139" t="s">
        <v>493</v>
      </c>
    </row>
    <row r="30" spans="1:14" s="114" customFormat="1" ht="110.4">
      <c r="A30" s="23" t="s">
        <v>172</v>
      </c>
      <c r="B30" s="136" t="s">
        <v>251</v>
      </c>
      <c r="C30" s="138" t="s">
        <v>252</v>
      </c>
      <c r="D30" s="140" t="s">
        <v>437</v>
      </c>
      <c r="E30" s="136" t="s">
        <v>414</v>
      </c>
      <c r="F30" s="136" t="s">
        <v>438</v>
      </c>
      <c r="G30" s="139" t="s">
        <v>490</v>
      </c>
      <c r="H30" s="136" t="s">
        <v>491</v>
      </c>
      <c r="I30" s="138" t="s">
        <v>441</v>
      </c>
      <c r="J30" s="138" t="s">
        <v>453</v>
      </c>
      <c r="K30" s="139" t="s">
        <v>261</v>
      </c>
      <c r="L30" s="192" t="s">
        <v>506</v>
      </c>
      <c r="M30" s="136" t="s">
        <v>494</v>
      </c>
      <c r="N30" s="139" t="s">
        <v>495</v>
      </c>
    </row>
    <row r="31" spans="1:14" s="114" customFormat="1" ht="105" customHeight="1">
      <c r="A31" s="23" t="s">
        <v>174</v>
      </c>
      <c r="B31" s="136" t="s">
        <v>251</v>
      </c>
      <c r="C31" s="138" t="s">
        <v>252</v>
      </c>
      <c r="D31" s="136" t="s">
        <v>479</v>
      </c>
      <c r="E31" s="140" t="s">
        <v>414</v>
      </c>
      <c r="F31" s="136" t="s">
        <v>485</v>
      </c>
      <c r="G31" s="136" t="s">
        <v>496</v>
      </c>
      <c r="H31" s="136" t="s">
        <v>497</v>
      </c>
      <c r="I31" s="138" t="s">
        <v>441</v>
      </c>
      <c r="J31" s="138" t="s">
        <v>453</v>
      </c>
      <c r="K31" s="139" t="s">
        <v>261</v>
      </c>
      <c r="L31" s="192" t="s">
        <v>506</v>
      </c>
      <c r="M31" s="136" t="s">
        <v>352</v>
      </c>
      <c r="N31" s="139" t="s">
        <v>489</v>
      </c>
    </row>
    <row r="32" spans="1:14" s="114" customFormat="1" ht="180">
      <c r="A32" s="23" t="s">
        <v>174</v>
      </c>
      <c r="B32" s="136" t="s">
        <v>251</v>
      </c>
      <c r="C32" s="138" t="s">
        <v>252</v>
      </c>
      <c r="D32" s="139" t="s">
        <v>479</v>
      </c>
      <c r="E32" s="140" t="s">
        <v>414</v>
      </c>
      <c r="F32" s="136" t="s">
        <v>485</v>
      </c>
      <c r="G32" s="136" t="s">
        <v>496</v>
      </c>
      <c r="H32" s="136" t="s">
        <v>497</v>
      </c>
      <c r="I32" s="138" t="s">
        <v>441</v>
      </c>
      <c r="J32" s="138" t="s">
        <v>453</v>
      </c>
      <c r="K32" s="139" t="s">
        <v>261</v>
      </c>
      <c r="L32" s="192" t="s">
        <v>506</v>
      </c>
      <c r="M32" s="136" t="s">
        <v>354</v>
      </c>
      <c r="N32" s="139" t="s">
        <v>489</v>
      </c>
    </row>
    <row r="33" spans="1:14" s="114" customFormat="1" ht="180">
      <c r="A33" s="23" t="s">
        <v>174</v>
      </c>
      <c r="B33" s="136" t="s">
        <v>251</v>
      </c>
      <c r="C33" s="138" t="s">
        <v>252</v>
      </c>
      <c r="D33" s="139" t="s">
        <v>479</v>
      </c>
      <c r="E33" s="140" t="s">
        <v>414</v>
      </c>
      <c r="F33" s="136" t="s">
        <v>485</v>
      </c>
      <c r="G33" s="139" t="s">
        <v>498</v>
      </c>
      <c r="H33" s="139" t="s">
        <v>499</v>
      </c>
      <c r="I33" s="140" t="s">
        <v>441</v>
      </c>
      <c r="J33" s="140" t="s">
        <v>453</v>
      </c>
      <c r="K33" s="139" t="s">
        <v>261</v>
      </c>
      <c r="L33" s="192" t="s">
        <v>506</v>
      </c>
      <c r="M33" s="136" t="s">
        <v>500</v>
      </c>
      <c r="N33" s="139" t="s">
        <v>489</v>
      </c>
    </row>
    <row r="34" spans="1:14" s="114" customFormat="1" ht="110.4">
      <c r="A34" s="23" t="s">
        <v>172</v>
      </c>
      <c r="B34" s="139" t="s">
        <v>251</v>
      </c>
      <c r="C34" s="140" t="s">
        <v>252</v>
      </c>
      <c r="D34" s="140" t="s">
        <v>437</v>
      </c>
      <c r="E34" s="140" t="s">
        <v>414</v>
      </c>
      <c r="F34" s="139" t="s">
        <v>438</v>
      </c>
      <c r="G34" s="139" t="s">
        <v>475</v>
      </c>
      <c r="H34" s="139" t="s">
        <v>501</v>
      </c>
      <c r="I34" s="140" t="s">
        <v>441</v>
      </c>
      <c r="J34" s="140" t="s">
        <v>453</v>
      </c>
      <c r="K34" s="140" t="s">
        <v>262</v>
      </c>
      <c r="L34" s="192" t="s">
        <v>506</v>
      </c>
      <c r="M34" s="139" t="s">
        <v>502</v>
      </c>
      <c r="N34" s="139" t="s">
        <v>503</v>
      </c>
    </row>
    <row r="35" spans="1:14" s="114" customFormat="1" ht="110.4">
      <c r="A35" s="23" t="s">
        <v>172</v>
      </c>
      <c r="B35" s="139" t="s">
        <v>251</v>
      </c>
      <c r="C35" s="139" t="s">
        <v>252</v>
      </c>
      <c r="D35" s="140" t="s">
        <v>437</v>
      </c>
      <c r="E35" s="140" t="s">
        <v>414</v>
      </c>
      <c r="F35" s="139" t="s">
        <v>438</v>
      </c>
      <c r="G35" s="139" t="s">
        <v>475</v>
      </c>
      <c r="H35" s="139" t="s">
        <v>501</v>
      </c>
      <c r="I35" s="140" t="s">
        <v>441</v>
      </c>
      <c r="J35" s="140" t="s">
        <v>453</v>
      </c>
      <c r="K35" s="140" t="s">
        <v>262</v>
      </c>
      <c r="L35" s="192" t="s">
        <v>506</v>
      </c>
      <c r="M35" s="139" t="s">
        <v>502</v>
      </c>
      <c r="N35" s="139" t="s">
        <v>503</v>
      </c>
    </row>
    <row r="36" spans="1:14" s="114" customFormat="1" ht="110.4">
      <c r="A36" s="23" t="s">
        <v>172</v>
      </c>
      <c r="B36" s="139" t="s">
        <v>251</v>
      </c>
      <c r="C36" s="139" t="s">
        <v>252</v>
      </c>
      <c r="D36" s="140" t="s">
        <v>437</v>
      </c>
      <c r="E36" s="140" t="s">
        <v>414</v>
      </c>
      <c r="F36" s="139" t="s">
        <v>438</v>
      </c>
      <c r="G36" s="139" t="s">
        <v>475</v>
      </c>
      <c r="H36" s="139" t="s">
        <v>501</v>
      </c>
      <c r="I36" s="140" t="s">
        <v>441</v>
      </c>
      <c r="J36" s="140" t="s">
        <v>453</v>
      </c>
      <c r="K36" s="140" t="s">
        <v>263</v>
      </c>
      <c r="L36" s="192" t="s">
        <v>506</v>
      </c>
      <c r="M36" s="139" t="s">
        <v>504</v>
      </c>
      <c r="N36" s="139" t="s">
        <v>505</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C9DB430D-A262-4D38-A150-968E7EDBB0EF}">
      <formula1>$Q$11:$Q$16</formula1>
    </dataValidation>
  </dataValidations>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468F-E18B-4401-86B1-446E28B821BA}">
  <dimension ref="A1:DO144"/>
  <sheetViews>
    <sheetView topLeftCell="A132" zoomScale="10" zoomScaleNormal="10" workbookViewId="0">
      <selection activeCell="AD155" sqref="AD155:AD156"/>
    </sheetView>
  </sheetViews>
  <sheetFormatPr baseColWidth="10" defaultColWidth="11.59765625" defaultRowHeight="69.900000000000006" customHeight="1"/>
  <cols>
    <col min="1" max="1" width="40" style="150" customWidth="1"/>
    <col min="2" max="2" width="34.8984375" style="150" customWidth="1"/>
    <col min="3" max="3" width="23.296875" style="150" customWidth="1"/>
    <col min="4" max="4" width="28.3984375" style="150" customWidth="1"/>
    <col min="5" max="5" width="35.69921875" style="150" customWidth="1"/>
    <col min="6" max="6" width="32.69921875" style="150" customWidth="1"/>
    <col min="7" max="7" width="41.09765625" style="150" customWidth="1"/>
    <col min="8" max="8" width="47" style="150" customWidth="1"/>
    <col min="9" max="9" width="39.09765625" style="150" customWidth="1"/>
    <col min="10" max="10" width="34.3984375" style="150" customWidth="1"/>
    <col min="11" max="11" width="31.8984375" style="153" hidden="1" customWidth="1"/>
    <col min="12" max="12" width="40.59765625" style="163" customWidth="1"/>
    <col min="13" max="13" width="0.296875" style="150" customWidth="1"/>
    <col min="14" max="14" width="51.69921875" style="150" customWidth="1"/>
    <col min="15" max="15" width="34.69921875" style="150" customWidth="1"/>
    <col min="16" max="16" width="36.09765625" style="150" customWidth="1"/>
    <col min="17" max="18" width="53.59765625" style="150" customWidth="1"/>
    <col min="19" max="19" width="47.69921875" style="150" customWidth="1"/>
    <col min="20" max="20" width="44" style="150" customWidth="1"/>
    <col min="21" max="21" width="35.69921875" style="150" customWidth="1"/>
    <col min="22" max="22" width="35.8984375" style="150" customWidth="1"/>
    <col min="23" max="23" width="31.69921875" style="150" customWidth="1"/>
    <col min="24" max="24" width="32.8984375" style="150" customWidth="1"/>
    <col min="25" max="25" width="29" style="150" customWidth="1"/>
    <col min="26" max="26" width="67.296875" style="150" customWidth="1"/>
    <col min="27" max="27" width="31.296875" style="150" customWidth="1"/>
    <col min="28" max="28" width="46.296875" style="150" bestFit="1" customWidth="1"/>
    <col min="29" max="29" width="46.296875" style="150" customWidth="1"/>
    <col min="30" max="30" width="29.296875" style="150" bestFit="1" customWidth="1"/>
    <col min="31" max="31" width="50.3984375" style="150" customWidth="1"/>
    <col min="32" max="32" width="57.8984375" style="150" customWidth="1"/>
    <col min="33" max="33" width="44.8984375" style="150" customWidth="1"/>
    <col min="34" max="34" width="51.59765625" style="150" customWidth="1"/>
    <col min="35" max="38" width="30.8984375" style="150" hidden="1" customWidth="1"/>
    <col min="39" max="39" width="26.69921875" style="164" bestFit="1" customWidth="1"/>
    <col min="40" max="40" width="41" style="150" bestFit="1" customWidth="1"/>
    <col min="41" max="41" width="121" style="150" customWidth="1"/>
    <col min="42" max="42" width="50" style="150" customWidth="1"/>
    <col min="43" max="43" width="49.8984375" style="150" customWidth="1"/>
    <col min="44" max="44" width="50.296875" style="150" customWidth="1"/>
    <col min="45" max="45" width="35.09765625" style="4" customWidth="1"/>
    <col min="46" max="46" width="44.8984375" style="4" customWidth="1"/>
    <col min="47" max="47" width="33.3984375" style="4" customWidth="1"/>
    <col min="48" max="48" width="50" style="4" customWidth="1"/>
    <col min="49" max="50" width="11.59765625" style="4"/>
    <col min="51" max="51" width="56.8984375" style="4" customWidth="1"/>
    <col min="52" max="53" width="11.296875" style="4" customWidth="1"/>
    <col min="54" max="54" width="11.59765625" style="150"/>
    <col min="55" max="119" width="11.59765625" style="4"/>
    <col min="120" max="16384" width="11.59765625" style="150"/>
  </cols>
  <sheetData>
    <row r="1" spans="1:119" s="4" customFormat="1" ht="15.75" customHeight="1">
      <c r="A1" s="397"/>
      <c r="B1" s="397"/>
      <c r="C1" s="394" t="s">
        <v>0</v>
      </c>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6"/>
      <c r="AN1" s="508" t="s">
        <v>101</v>
      </c>
      <c r="AO1" s="509"/>
      <c r="AP1" s="273"/>
      <c r="AQ1" s="273"/>
      <c r="AR1" s="273"/>
    </row>
    <row r="2" spans="1:119" s="4" customFormat="1" ht="33.75" customHeight="1">
      <c r="A2" s="397"/>
      <c r="B2" s="397"/>
      <c r="C2" s="394" t="s">
        <v>1</v>
      </c>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6"/>
      <c r="AN2" s="508" t="s">
        <v>2</v>
      </c>
      <c r="AO2" s="509"/>
      <c r="AP2" s="273"/>
      <c r="AQ2" s="273"/>
      <c r="AR2" s="273"/>
    </row>
    <row r="3" spans="1:119" s="4" customFormat="1" ht="24.75" customHeight="1">
      <c r="A3" s="397"/>
      <c r="B3" s="397"/>
      <c r="C3" s="394" t="s">
        <v>3</v>
      </c>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6"/>
      <c r="AN3" s="508" t="s">
        <v>100</v>
      </c>
      <c r="AO3" s="509"/>
      <c r="AP3" s="273"/>
      <c r="AQ3" s="273"/>
      <c r="AR3" s="273"/>
    </row>
    <row r="4" spans="1:119" s="4" customFormat="1" ht="36" customHeight="1">
      <c r="A4" s="397"/>
      <c r="B4" s="397"/>
      <c r="C4" s="394" t="s">
        <v>79</v>
      </c>
      <c r="D4" s="395"/>
      <c r="E4" s="395"/>
      <c r="F4" s="395"/>
      <c r="G4" s="395"/>
      <c r="H4" s="395"/>
      <c r="I4" s="395"/>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6"/>
      <c r="AN4" s="508" t="s">
        <v>103</v>
      </c>
      <c r="AO4" s="509"/>
      <c r="AP4" s="273"/>
      <c r="AQ4" s="273"/>
      <c r="AR4" s="273"/>
    </row>
    <row r="5" spans="1:119" s="4" customFormat="1" ht="18.75" customHeight="1">
      <c r="A5" s="485" t="s">
        <v>4</v>
      </c>
      <c r="B5" s="486"/>
      <c r="C5" s="486"/>
      <c r="D5" s="486"/>
      <c r="E5" s="486"/>
      <c r="F5" s="486"/>
      <c r="G5" s="486"/>
      <c r="H5" s="486"/>
      <c r="I5" s="486"/>
      <c r="J5" s="486"/>
      <c r="K5" s="486"/>
      <c r="L5" s="486"/>
      <c r="M5" s="486"/>
      <c r="N5" s="486"/>
      <c r="O5" s="486"/>
      <c r="P5" s="486"/>
      <c r="Q5" s="486"/>
      <c r="R5" s="486"/>
      <c r="S5" s="486"/>
      <c r="T5" s="486"/>
      <c r="U5" s="486"/>
      <c r="V5" s="486"/>
      <c r="W5" s="486"/>
      <c r="X5" s="486"/>
      <c r="Y5" s="486"/>
      <c r="Z5" s="486"/>
      <c r="AA5" s="486"/>
      <c r="AB5" s="486"/>
      <c r="AC5" s="486"/>
      <c r="AD5" s="486"/>
      <c r="AE5" s="486"/>
      <c r="AF5" s="486"/>
      <c r="AG5" s="486"/>
      <c r="AH5" s="486"/>
      <c r="AI5" s="486"/>
      <c r="AJ5" s="486"/>
      <c r="AK5" s="486"/>
      <c r="AL5" s="486"/>
      <c r="AM5" s="486"/>
      <c r="AN5" s="486"/>
      <c r="AO5" s="487"/>
      <c r="AP5" s="274"/>
      <c r="AQ5" s="274"/>
      <c r="AR5" s="274"/>
    </row>
    <row r="6" spans="1:119" ht="39.75" customHeight="1">
      <c r="A6" s="488" t="s">
        <v>89</v>
      </c>
      <c r="B6" s="488"/>
      <c r="C6" s="488"/>
      <c r="D6" s="488"/>
      <c r="E6" s="488"/>
      <c r="F6" s="488"/>
      <c r="G6" s="488"/>
      <c r="H6" s="488"/>
      <c r="I6" s="488"/>
      <c r="J6" s="488"/>
      <c r="K6" s="488"/>
      <c r="L6" s="488"/>
      <c r="M6" s="488"/>
      <c r="N6" s="488"/>
      <c r="O6" s="488"/>
      <c r="P6" s="488"/>
      <c r="Q6" s="488"/>
      <c r="R6" s="488"/>
      <c r="S6" s="488"/>
      <c r="T6" s="488"/>
      <c r="U6" s="488"/>
      <c r="V6" s="488"/>
      <c r="W6" s="488"/>
      <c r="X6" s="488"/>
      <c r="Y6" s="488"/>
      <c r="Z6" s="489"/>
      <c r="AA6" s="492" t="s">
        <v>60</v>
      </c>
      <c r="AB6" s="493"/>
      <c r="AC6" s="493"/>
      <c r="AD6" s="493"/>
      <c r="AE6" s="493"/>
      <c r="AF6" s="493"/>
      <c r="AG6" s="27"/>
      <c r="AH6" s="496" t="s">
        <v>5</v>
      </c>
      <c r="AI6" s="497"/>
      <c r="AJ6" s="497"/>
      <c r="AK6" s="497"/>
      <c r="AL6" s="497"/>
      <c r="AM6" s="497"/>
      <c r="AN6" s="497"/>
      <c r="AO6" s="498"/>
      <c r="AP6" s="275"/>
      <c r="AQ6" s="275"/>
      <c r="AR6" s="275"/>
    </row>
    <row r="7" spans="1:119" ht="30.75" customHeight="1">
      <c r="A7" s="490"/>
      <c r="B7" s="490"/>
      <c r="C7" s="490"/>
      <c r="D7" s="490"/>
      <c r="E7" s="490"/>
      <c r="F7" s="490"/>
      <c r="G7" s="490"/>
      <c r="H7" s="490"/>
      <c r="I7" s="490"/>
      <c r="J7" s="490"/>
      <c r="K7" s="490"/>
      <c r="L7" s="490"/>
      <c r="M7" s="490"/>
      <c r="N7" s="490"/>
      <c r="O7" s="490"/>
      <c r="P7" s="490"/>
      <c r="Q7" s="490"/>
      <c r="R7" s="490"/>
      <c r="S7" s="490"/>
      <c r="T7" s="490"/>
      <c r="U7" s="490"/>
      <c r="V7" s="490"/>
      <c r="W7" s="490"/>
      <c r="X7" s="490"/>
      <c r="Y7" s="490"/>
      <c r="Z7" s="491"/>
      <c r="AA7" s="494"/>
      <c r="AB7" s="495"/>
      <c r="AC7" s="495"/>
      <c r="AD7" s="495"/>
      <c r="AE7" s="495"/>
      <c r="AF7" s="495"/>
      <c r="AG7" s="31"/>
      <c r="AH7" s="499"/>
      <c r="AI7" s="500"/>
      <c r="AJ7" s="500"/>
      <c r="AK7" s="500"/>
      <c r="AL7" s="500"/>
      <c r="AM7" s="500"/>
      <c r="AN7" s="500"/>
      <c r="AO7" s="501"/>
      <c r="AP7" s="275"/>
      <c r="AQ7" s="275"/>
      <c r="AR7" s="275"/>
    </row>
    <row r="8" spans="1:119" ht="69.900000000000006" customHeight="1">
      <c r="A8" s="8" t="s">
        <v>65</v>
      </c>
      <c r="B8" s="8" t="s">
        <v>6</v>
      </c>
      <c r="C8" s="8" t="s">
        <v>95</v>
      </c>
      <c r="D8" s="2" t="s">
        <v>324</v>
      </c>
      <c r="E8" s="2" t="s">
        <v>9</v>
      </c>
      <c r="F8" s="8" t="s">
        <v>10</v>
      </c>
      <c r="G8" s="2" t="s">
        <v>69</v>
      </c>
      <c r="H8" s="2" t="s">
        <v>96</v>
      </c>
      <c r="I8" s="2" t="s">
        <v>70</v>
      </c>
      <c r="J8" s="28" t="s">
        <v>670</v>
      </c>
      <c r="K8" s="209" t="s">
        <v>97</v>
      </c>
      <c r="L8" s="9" t="s">
        <v>94</v>
      </c>
      <c r="M8" s="9" t="s">
        <v>99</v>
      </c>
      <c r="N8" s="9" t="s">
        <v>11</v>
      </c>
      <c r="O8" s="176" t="s">
        <v>558</v>
      </c>
      <c r="P8" s="176" t="s">
        <v>559</v>
      </c>
      <c r="Q8" s="29" t="s">
        <v>671</v>
      </c>
      <c r="R8" s="29" t="s">
        <v>687</v>
      </c>
      <c r="S8" s="9" t="s">
        <v>71</v>
      </c>
      <c r="T8" s="9" t="s">
        <v>72</v>
      </c>
      <c r="U8" s="8" t="s">
        <v>12</v>
      </c>
      <c r="V8" s="8" t="s">
        <v>13</v>
      </c>
      <c r="W8" s="8" t="s">
        <v>84</v>
      </c>
      <c r="X8" s="8" t="s">
        <v>27</v>
      </c>
      <c r="Y8" s="8" t="s">
        <v>67</v>
      </c>
      <c r="Z8" s="8" t="s">
        <v>68</v>
      </c>
      <c r="AA8" s="24" t="s">
        <v>17</v>
      </c>
      <c r="AB8" s="117" t="s">
        <v>74</v>
      </c>
      <c r="AC8" s="117" t="s">
        <v>98</v>
      </c>
      <c r="AD8" s="117" t="s">
        <v>18</v>
      </c>
      <c r="AE8" s="117" t="s">
        <v>19</v>
      </c>
      <c r="AF8" s="24" t="s">
        <v>20</v>
      </c>
      <c r="AG8" s="30" t="s">
        <v>320</v>
      </c>
      <c r="AH8" s="8" t="s">
        <v>15</v>
      </c>
      <c r="AI8" s="8" t="s">
        <v>73</v>
      </c>
      <c r="AJ8" s="30" t="s">
        <v>321</v>
      </c>
      <c r="AK8" s="30" t="s">
        <v>322</v>
      </c>
      <c r="AL8" s="30" t="s">
        <v>323</v>
      </c>
      <c r="AM8" s="8" t="s">
        <v>14</v>
      </c>
      <c r="AN8" s="8" t="s">
        <v>16</v>
      </c>
      <c r="AO8" s="30" t="s">
        <v>669</v>
      </c>
      <c r="AP8" s="30" t="s">
        <v>673</v>
      </c>
      <c r="AQ8" s="30" t="s">
        <v>682</v>
      </c>
      <c r="AR8" s="30" t="s">
        <v>674</v>
      </c>
      <c r="AS8" s="30" t="s">
        <v>683</v>
      </c>
      <c r="AT8" s="30" t="s">
        <v>684</v>
      </c>
      <c r="AU8" s="30" t="s">
        <v>685</v>
      </c>
      <c r="AV8" s="30" t="s">
        <v>686</v>
      </c>
    </row>
    <row r="9" spans="1:119" s="105" customFormat="1" ht="55.2">
      <c r="A9" s="32" t="s">
        <v>170</v>
      </c>
      <c r="B9" s="32" t="s">
        <v>109</v>
      </c>
      <c r="C9" s="33" t="s">
        <v>270</v>
      </c>
      <c r="D9" s="32" t="s">
        <v>118</v>
      </c>
      <c r="E9" s="32" t="s">
        <v>175</v>
      </c>
      <c r="F9" s="34">
        <v>2024130010112</v>
      </c>
      <c r="G9" s="133" t="s">
        <v>186</v>
      </c>
      <c r="H9" s="32" t="s">
        <v>196</v>
      </c>
      <c r="I9" s="32" t="s">
        <v>147</v>
      </c>
      <c r="J9" s="166">
        <v>0</v>
      </c>
      <c r="K9" s="110">
        <v>0.25</v>
      </c>
      <c r="L9" s="133" t="s">
        <v>410</v>
      </c>
      <c r="M9" s="35"/>
      <c r="N9" s="36" t="s">
        <v>548</v>
      </c>
      <c r="O9" s="36">
        <v>0</v>
      </c>
      <c r="P9" s="211">
        <v>4</v>
      </c>
      <c r="Q9" s="35">
        <v>0</v>
      </c>
      <c r="R9" s="314">
        <v>0</v>
      </c>
      <c r="S9" s="186">
        <v>45660</v>
      </c>
      <c r="T9" s="186">
        <v>46022</v>
      </c>
      <c r="U9" s="187">
        <f>+T9-S9</f>
        <v>362</v>
      </c>
      <c r="V9" s="35" t="s">
        <v>264</v>
      </c>
      <c r="W9" s="36" t="s">
        <v>267</v>
      </c>
      <c r="X9" s="36" t="s">
        <v>271</v>
      </c>
      <c r="Y9" s="36" t="s">
        <v>286</v>
      </c>
      <c r="Z9" s="36" t="s">
        <v>287</v>
      </c>
      <c r="AA9" s="37" t="s">
        <v>266</v>
      </c>
      <c r="AB9" s="36" t="s">
        <v>508</v>
      </c>
      <c r="AC9" s="188">
        <v>200000000</v>
      </c>
      <c r="AD9" s="35" t="s">
        <v>47</v>
      </c>
      <c r="AE9" s="35" t="s">
        <v>41</v>
      </c>
      <c r="AF9" s="35"/>
      <c r="AG9" s="35"/>
      <c r="AH9" s="502">
        <v>16069279515</v>
      </c>
      <c r="AI9" s="502"/>
      <c r="AJ9" s="35"/>
      <c r="AK9" s="35"/>
      <c r="AL9" s="35"/>
      <c r="AM9" s="505" t="s">
        <v>560</v>
      </c>
      <c r="AN9" s="36" t="s">
        <v>175</v>
      </c>
      <c r="AO9" s="35" t="s">
        <v>656</v>
      </c>
      <c r="AP9" s="528">
        <v>33466088720.580002</v>
      </c>
      <c r="AQ9" s="528">
        <v>11452568124.76</v>
      </c>
      <c r="AR9" s="531">
        <v>0.3422</v>
      </c>
      <c r="AS9" s="528">
        <v>6188370665</v>
      </c>
      <c r="AT9" s="528">
        <v>6188370665</v>
      </c>
      <c r="AU9" s="510">
        <f>+AS9/AP9</f>
        <v>0.18491466740164517</v>
      </c>
      <c r="AV9" s="510">
        <f>+AT9/AP9</f>
        <v>0.18491466740164517</v>
      </c>
      <c r="AW9" s="4"/>
      <c r="AX9" s="4"/>
      <c r="AY9" s="4"/>
      <c r="AZ9" s="4"/>
      <c r="BA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row>
    <row r="10" spans="1:119" s="105" customFormat="1" ht="55.2">
      <c r="A10" s="32" t="s">
        <v>170</v>
      </c>
      <c r="B10" s="32" t="s">
        <v>109</v>
      </c>
      <c r="C10" s="33" t="s">
        <v>270</v>
      </c>
      <c r="D10" s="32" t="s">
        <v>118</v>
      </c>
      <c r="E10" s="32" t="s">
        <v>175</v>
      </c>
      <c r="F10" s="34">
        <v>2024130010112</v>
      </c>
      <c r="G10" s="133" t="s">
        <v>186</v>
      </c>
      <c r="H10" s="32" t="s">
        <v>196</v>
      </c>
      <c r="I10" s="32" t="s">
        <v>147</v>
      </c>
      <c r="J10" s="166">
        <v>0</v>
      </c>
      <c r="K10" s="110">
        <v>0.25</v>
      </c>
      <c r="L10" s="133" t="s">
        <v>409</v>
      </c>
      <c r="M10" s="35"/>
      <c r="N10" s="36" t="s">
        <v>548</v>
      </c>
      <c r="O10" s="36">
        <v>0</v>
      </c>
      <c r="P10" s="211">
        <v>4</v>
      </c>
      <c r="Q10" s="35">
        <v>0</v>
      </c>
      <c r="R10" s="314">
        <v>0</v>
      </c>
      <c r="S10" s="186">
        <v>45660</v>
      </c>
      <c r="T10" s="186">
        <v>46022</v>
      </c>
      <c r="U10" s="187">
        <f>+T10-S10</f>
        <v>362</v>
      </c>
      <c r="V10" s="35" t="s">
        <v>264</v>
      </c>
      <c r="W10" s="36" t="s">
        <v>267</v>
      </c>
      <c r="X10" s="36" t="s">
        <v>271</v>
      </c>
      <c r="Y10" s="36" t="s">
        <v>286</v>
      </c>
      <c r="Z10" s="36" t="s">
        <v>287</v>
      </c>
      <c r="AA10" s="37" t="s">
        <v>266</v>
      </c>
      <c r="AB10" s="36" t="s">
        <v>508</v>
      </c>
      <c r="AC10" s="188">
        <v>200000000</v>
      </c>
      <c r="AD10" s="35" t="s">
        <v>47</v>
      </c>
      <c r="AE10" s="35" t="s">
        <v>41</v>
      </c>
      <c r="AF10" s="35"/>
      <c r="AG10" s="35"/>
      <c r="AH10" s="503"/>
      <c r="AI10" s="503"/>
      <c r="AJ10" s="102">
        <v>4860261721.3199997</v>
      </c>
      <c r="AK10" s="35"/>
      <c r="AL10" s="35"/>
      <c r="AM10" s="506"/>
      <c r="AN10" s="36" t="s">
        <v>175</v>
      </c>
      <c r="AO10" s="35" t="s">
        <v>656</v>
      </c>
      <c r="AP10" s="529"/>
      <c r="AQ10" s="529"/>
      <c r="AR10" s="532"/>
      <c r="AS10" s="529"/>
      <c r="AT10" s="529"/>
      <c r="AU10" s="511"/>
      <c r="AV10" s="511"/>
      <c r="AW10" s="4"/>
      <c r="AX10" s="4"/>
      <c r="AY10" s="4"/>
      <c r="AZ10" s="4"/>
      <c r="BA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row>
    <row r="11" spans="1:119" s="105" customFormat="1" ht="55.2">
      <c r="A11" s="32" t="s">
        <v>170</v>
      </c>
      <c r="B11" s="32" t="s">
        <v>109</v>
      </c>
      <c r="C11" s="33" t="s">
        <v>270</v>
      </c>
      <c r="D11" s="32" t="s">
        <v>118</v>
      </c>
      <c r="E11" s="32" t="s">
        <v>175</v>
      </c>
      <c r="F11" s="34">
        <v>2024130010112</v>
      </c>
      <c r="G11" s="133" t="s">
        <v>186</v>
      </c>
      <c r="H11" s="32" t="s">
        <v>196</v>
      </c>
      <c r="I11" s="32" t="s">
        <v>147</v>
      </c>
      <c r="J11" s="166">
        <v>0</v>
      </c>
      <c r="K11" s="110">
        <v>0.25</v>
      </c>
      <c r="L11" s="133" t="s">
        <v>409</v>
      </c>
      <c r="N11" s="36" t="s">
        <v>548</v>
      </c>
      <c r="O11" s="36">
        <v>0</v>
      </c>
      <c r="P11" s="211">
        <v>4</v>
      </c>
      <c r="Q11" s="35">
        <v>0</v>
      </c>
      <c r="R11" s="314">
        <v>0</v>
      </c>
      <c r="S11" s="186">
        <v>45660</v>
      </c>
      <c r="T11" s="186">
        <v>46022</v>
      </c>
      <c r="U11" s="187">
        <f t="shared" ref="U11:U74" si="0">+T11-S11</f>
        <v>362</v>
      </c>
      <c r="V11" s="35" t="s">
        <v>264</v>
      </c>
      <c r="W11" s="36" t="s">
        <v>267</v>
      </c>
      <c r="X11" s="36" t="s">
        <v>271</v>
      </c>
      <c r="Y11" s="36" t="s">
        <v>286</v>
      </c>
      <c r="Z11" s="36" t="s">
        <v>287</v>
      </c>
      <c r="AA11" s="37" t="s">
        <v>266</v>
      </c>
      <c r="AB11" s="36" t="s">
        <v>623</v>
      </c>
      <c r="AC11" s="188">
        <v>2900000000</v>
      </c>
      <c r="AD11" s="35" t="s">
        <v>42</v>
      </c>
      <c r="AE11" s="35" t="s">
        <v>41</v>
      </c>
      <c r="AF11" s="35"/>
      <c r="AG11" s="35"/>
      <c r="AH11" s="503"/>
      <c r="AI11" s="503"/>
      <c r="AJ11" s="35"/>
      <c r="AK11" s="35"/>
      <c r="AL11" s="35"/>
      <c r="AM11" s="506"/>
      <c r="AN11" s="36" t="s">
        <v>175</v>
      </c>
      <c r="AO11" s="35" t="s">
        <v>656</v>
      </c>
      <c r="AP11" s="529"/>
      <c r="AQ11" s="529"/>
      <c r="AR11" s="532"/>
      <c r="AS11" s="529"/>
      <c r="AT11" s="529"/>
      <c r="AU11" s="511"/>
      <c r="AV11" s="511"/>
      <c r="AW11" s="4"/>
      <c r="AX11" s="4"/>
      <c r="AY11" s="4"/>
      <c r="AZ11" s="4"/>
      <c r="BA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row>
    <row r="12" spans="1:119" s="105" customFormat="1" ht="55.2">
      <c r="A12" s="32" t="s">
        <v>170</v>
      </c>
      <c r="B12" s="32" t="s">
        <v>109</v>
      </c>
      <c r="C12" s="33" t="s">
        <v>270</v>
      </c>
      <c r="D12" s="32" t="s">
        <v>119</v>
      </c>
      <c r="E12" s="32" t="s">
        <v>175</v>
      </c>
      <c r="F12" s="34">
        <v>2024130010112</v>
      </c>
      <c r="G12" s="133" t="s">
        <v>186</v>
      </c>
      <c r="H12" s="32" t="s">
        <v>196</v>
      </c>
      <c r="I12" s="32" t="s">
        <v>148</v>
      </c>
      <c r="J12" s="166">
        <v>0.35</v>
      </c>
      <c r="K12" s="110">
        <v>0.25</v>
      </c>
      <c r="L12" s="133" t="s">
        <v>412</v>
      </c>
      <c r="M12" s="35"/>
      <c r="N12" s="133" t="s">
        <v>621</v>
      </c>
      <c r="O12" s="133">
        <v>0.27</v>
      </c>
      <c r="P12" s="211">
        <v>0.73</v>
      </c>
      <c r="Q12" s="35">
        <v>0.35</v>
      </c>
      <c r="R12" s="316">
        <f t="shared" ref="R12:R38" si="1">+Q12/P12</f>
        <v>0.47945205479452052</v>
      </c>
      <c r="S12" s="186">
        <v>45660</v>
      </c>
      <c r="T12" s="186">
        <v>46022</v>
      </c>
      <c r="U12" s="187">
        <f t="shared" si="0"/>
        <v>362</v>
      </c>
      <c r="V12" s="35" t="s">
        <v>264</v>
      </c>
      <c r="W12" s="36" t="s">
        <v>267</v>
      </c>
      <c r="X12" s="36" t="s">
        <v>271</v>
      </c>
      <c r="Y12" s="39" t="s">
        <v>285</v>
      </c>
      <c r="Z12" s="38" t="s">
        <v>288</v>
      </c>
      <c r="AA12" s="37" t="s">
        <v>266</v>
      </c>
      <c r="AB12" s="36" t="s">
        <v>508</v>
      </c>
      <c r="AC12" s="188">
        <v>10000000</v>
      </c>
      <c r="AD12" s="35" t="s">
        <v>47</v>
      </c>
      <c r="AE12" s="35" t="s">
        <v>41</v>
      </c>
      <c r="AF12" s="35"/>
      <c r="AG12" s="35"/>
      <c r="AH12" s="503"/>
      <c r="AI12" s="503"/>
      <c r="AJ12" s="35"/>
      <c r="AK12" s="35"/>
      <c r="AL12" s="35"/>
      <c r="AM12" s="506"/>
      <c r="AN12" s="36" t="s">
        <v>175</v>
      </c>
      <c r="AO12" s="35" t="s">
        <v>656</v>
      </c>
      <c r="AP12" s="529"/>
      <c r="AQ12" s="529"/>
      <c r="AR12" s="532"/>
      <c r="AS12" s="529"/>
      <c r="AT12" s="529"/>
      <c r="AU12" s="511"/>
      <c r="AV12" s="511"/>
      <c r="AW12" s="4"/>
      <c r="AX12" s="4"/>
      <c r="AY12" s="4"/>
      <c r="AZ12" s="4"/>
      <c r="BA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row>
    <row r="13" spans="1:119" s="105" customFormat="1" ht="139.19999999999999">
      <c r="A13" s="32" t="s">
        <v>170</v>
      </c>
      <c r="B13" s="32" t="s">
        <v>109</v>
      </c>
      <c r="C13" s="33" t="s">
        <v>270</v>
      </c>
      <c r="D13" s="32" t="s">
        <v>120</v>
      </c>
      <c r="E13" s="32" t="s">
        <v>175</v>
      </c>
      <c r="F13" s="34">
        <v>2024130010112</v>
      </c>
      <c r="G13" s="133" t="s">
        <v>186</v>
      </c>
      <c r="H13" s="32" t="s">
        <v>196</v>
      </c>
      <c r="I13" s="39" t="s">
        <v>149</v>
      </c>
      <c r="J13" s="166">
        <v>1</v>
      </c>
      <c r="K13" s="110">
        <v>0.25</v>
      </c>
      <c r="L13" s="133" t="s">
        <v>411</v>
      </c>
      <c r="M13" s="35"/>
      <c r="N13" s="36" t="s">
        <v>549</v>
      </c>
      <c r="O13" s="36">
        <v>2</v>
      </c>
      <c r="P13" s="211">
        <v>4</v>
      </c>
      <c r="Q13" s="35">
        <v>1</v>
      </c>
      <c r="R13" s="315">
        <f t="shared" si="1"/>
        <v>0.25</v>
      </c>
      <c r="S13" s="186">
        <v>45660</v>
      </c>
      <c r="T13" s="186">
        <v>46022</v>
      </c>
      <c r="U13" s="187">
        <f t="shared" si="0"/>
        <v>362</v>
      </c>
      <c r="V13" s="35" t="s">
        <v>264</v>
      </c>
      <c r="W13" s="36" t="s">
        <v>267</v>
      </c>
      <c r="X13" s="36" t="s">
        <v>271</v>
      </c>
      <c r="Y13" s="39" t="s">
        <v>285</v>
      </c>
      <c r="Z13" s="38" t="s">
        <v>288</v>
      </c>
      <c r="AA13" s="37" t="s">
        <v>266</v>
      </c>
      <c r="AB13" s="36" t="s">
        <v>622</v>
      </c>
      <c r="AC13" s="188">
        <v>100000000</v>
      </c>
      <c r="AD13" s="35" t="s">
        <v>42</v>
      </c>
      <c r="AE13" s="35" t="s">
        <v>41</v>
      </c>
      <c r="AF13" s="35"/>
      <c r="AG13" s="35"/>
      <c r="AH13" s="503"/>
      <c r="AI13" s="503"/>
      <c r="AJ13" s="35"/>
      <c r="AK13" s="35"/>
      <c r="AL13" s="35"/>
      <c r="AM13" s="506"/>
      <c r="AN13" s="36" t="s">
        <v>175</v>
      </c>
      <c r="AO13" s="276" t="s">
        <v>658</v>
      </c>
      <c r="AP13" s="529"/>
      <c r="AQ13" s="529"/>
      <c r="AR13" s="532"/>
      <c r="AS13" s="529"/>
      <c r="AT13" s="529"/>
      <c r="AU13" s="511"/>
      <c r="AV13" s="511"/>
      <c r="AW13" s="4"/>
      <c r="AX13" s="4"/>
      <c r="AY13" s="4"/>
      <c r="AZ13" s="4"/>
      <c r="BA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row>
    <row r="14" spans="1:119" s="105" customFormat="1" ht="289.8">
      <c r="A14" s="32" t="s">
        <v>171</v>
      </c>
      <c r="B14" s="32" t="s">
        <v>109</v>
      </c>
      <c r="C14" s="33" t="s">
        <v>270</v>
      </c>
      <c r="D14" s="32" t="s">
        <v>121</v>
      </c>
      <c r="E14" s="32" t="s">
        <v>175</v>
      </c>
      <c r="F14" s="34">
        <v>2024130010112</v>
      </c>
      <c r="G14" s="133" t="s">
        <v>186</v>
      </c>
      <c r="H14" s="32" t="s">
        <v>199</v>
      </c>
      <c r="I14" s="166" t="s">
        <v>325</v>
      </c>
      <c r="J14" s="166">
        <v>83</v>
      </c>
      <c r="K14" s="110">
        <v>0.25</v>
      </c>
      <c r="L14" s="355" t="s">
        <v>404</v>
      </c>
      <c r="M14" s="35"/>
      <c r="N14" s="354" t="s">
        <v>705</v>
      </c>
      <c r="O14" s="36">
        <v>368</v>
      </c>
      <c r="P14" s="211">
        <v>300</v>
      </c>
      <c r="Q14" s="35">
        <v>83</v>
      </c>
      <c r="R14" s="315">
        <f t="shared" si="1"/>
        <v>0.27666666666666667</v>
      </c>
      <c r="S14" s="186">
        <v>45660</v>
      </c>
      <c r="T14" s="186">
        <v>46022</v>
      </c>
      <c r="U14" s="187">
        <f t="shared" si="0"/>
        <v>362</v>
      </c>
      <c r="V14" s="35" t="s">
        <v>264</v>
      </c>
      <c r="W14" s="36" t="s">
        <v>267</v>
      </c>
      <c r="X14" s="36" t="s">
        <v>271</v>
      </c>
      <c r="Y14" s="36" t="s">
        <v>290</v>
      </c>
      <c r="Z14" s="36" t="s">
        <v>291</v>
      </c>
      <c r="AA14" s="37" t="s">
        <v>266</v>
      </c>
      <c r="AB14" s="36" t="s">
        <v>508</v>
      </c>
      <c r="AC14" s="188">
        <v>200000000</v>
      </c>
      <c r="AD14" s="35" t="s">
        <v>47</v>
      </c>
      <c r="AE14" s="35" t="s">
        <v>41</v>
      </c>
      <c r="AF14" s="35"/>
      <c r="AG14" s="35"/>
      <c r="AH14" s="503"/>
      <c r="AI14" s="503"/>
      <c r="AJ14" s="35"/>
      <c r="AK14" s="35"/>
      <c r="AL14" s="35"/>
      <c r="AM14" s="506"/>
      <c r="AN14" s="36" t="s">
        <v>175</v>
      </c>
      <c r="AO14" s="32" t="s">
        <v>657</v>
      </c>
      <c r="AP14" s="529"/>
      <c r="AQ14" s="529"/>
      <c r="AR14" s="532"/>
      <c r="AS14" s="529"/>
      <c r="AT14" s="529"/>
      <c r="AU14" s="511"/>
      <c r="AV14" s="511"/>
      <c r="AW14" s="4"/>
      <c r="AX14" s="4"/>
      <c r="AY14" s="4"/>
      <c r="AZ14" s="4"/>
      <c r="BA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row>
    <row r="15" spans="1:119" s="105" customFormat="1" ht="139.19999999999999">
      <c r="A15" s="142" t="s">
        <v>171</v>
      </c>
      <c r="B15" s="32" t="s">
        <v>109</v>
      </c>
      <c r="C15" s="33" t="s">
        <v>270</v>
      </c>
      <c r="D15" s="32" t="s">
        <v>121</v>
      </c>
      <c r="E15" s="142" t="s">
        <v>175</v>
      </c>
      <c r="F15" s="143">
        <v>2024130010112</v>
      </c>
      <c r="G15" s="133" t="s">
        <v>186</v>
      </c>
      <c r="H15" s="32" t="s">
        <v>199</v>
      </c>
      <c r="I15" s="166" t="s">
        <v>325</v>
      </c>
      <c r="J15" s="166">
        <v>83</v>
      </c>
      <c r="K15" s="110">
        <v>0.25</v>
      </c>
      <c r="L15" s="354" t="s">
        <v>222</v>
      </c>
      <c r="M15" s="356"/>
      <c r="N15" s="354" t="s">
        <v>706</v>
      </c>
      <c r="O15" s="35">
        <v>368</v>
      </c>
      <c r="P15" s="211">
        <v>300</v>
      </c>
      <c r="Q15" s="35">
        <v>83</v>
      </c>
      <c r="R15" s="316">
        <f t="shared" si="1"/>
        <v>0.27666666666666667</v>
      </c>
      <c r="S15" s="186">
        <v>45660</v>
      </c>
      <c r="T15" s="186">
        <v>46022</v>
      </c>
      <c r="U15" s="187">
        <f t="shared" si="0"/>
        <v>362</v>
      </c>
      <c r="V15" s="35" t="s">
        <v>264</v>
      </c>
      <c r="W15" s="36" t="s">
        <v>267</v>
      </c>
      <c r="X15" s="36" t="s">
        <v>271</v>
      </c>
      <c r="Y15" s="36" t="s">
        <v>290</v>
      </c>
      <c r="Z15" s="36" t="s">
        <v>291</v>
      </c>
      <c r="AA15" s="37" t="s">
        <v>266</v>
      </c>
      <c r="AB15" s="36" t="s">
        <v>508</v>
      </c>
      <c r="AC15" s="188">
        <v>100000000</v>
      </c>
      <c r="AD15" s="35" t="s">
        <v>47</v>
      </c>
      <c r="AE15" s="35" t="s">
        <v>41</v>
      </c>
      <c r="AF15" s="35"/>
      <c r="AG15" s="35"/>
      <c r="AH15" s="503"/>
      <c r="AI15" s="503"/>
      <c r="AJ15" s="102">
        <v>100000000</v>
      </c>
      <c r="AK15" s="35"/>
      <c r="AL15" s="35"/>
      <c r="AM15" s="506"/>
      <c r="AN15" s="36" t="s">
        <v>175</v>
      </c>
      <c r="AO15" s="276" t="s">
        <v>658</v>
      </c>
      <c r="AP15" s="529"/>
      <c r="AQ15" s="529"/>
      <c r="AR15" s="532"/>
      <c r="AS15" s="529"/>
      <c r="AT15" s="529"/>
      <c r="AU15" s="511"/>
      <c r="AV15" s="511"/>
      <c r="AW15" s="4"/>
      <c r="AX15" s="4"/>
      <c r="AY15" s="4"/>
      <c r="AZ15" s="4"/>
      <c r="BA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row>
    <row r="16" spans="1:119" s="105" customFormat="1" ht="191.4">
      <c r="A16" s="142" t="s">
        <v>171</v>
      </c>
      <c r="B16" s="32" t="s">
        <v>109</v>
      </c>
      <c r="C16" s="33" t="s">
        <v>270</v>
      </c>
      <c r="D16" s="32" t="s">
        <v>121</v>
      </c>
      <c r="E16" s="142" t="s">
        <v>175</v>
      </c>
      <c r="F16" s="143">
        <v>2024130010112</v>
      </c>
      <c r="G16" s="133" t="s">
        <v>186</v>
      </c>
      <c r="H16" s="32" t="s">
        <v>199</v>
      </c>
      <c r="I16" s="39" t="s">
        <v>325</v>
      </c>
      <c r="J16" s="166">
        <v>83</v>
      </c>
      <c r="K16" s="110">
        <v>0.25</v>
      </c>
      <c r="L16" s="354" t="s">
        <v>405</v>
      </c>
      <c r="M16" s="356"/>
      <c r="N16" s="354" t="s">
        <v>707</v>
      </c>
      <c r="O16" s="35">
        <v>368</v>
      </c>
      <c r="P16" s="211">
        <v>300</v>
      </c>
      <c r="Q16" s="35">
        <v>83</v>
      </c>
      <c r="R16" s="316">
        <f t="shared" si="1"/>
        <v>0.27666666666666667</v>
      </c>
      <c r="S16" s="186">
        <v>45660</v>
      </c>
      <c r="T16" s="186">
        <v>46022</v>
      </c>
      <c r="U16" s="187">
        <f t="shared" si="0"/>
        <v>362</v>
      </c>
      <c r="V16" s="35" t="s">
        <v>264</v>
      </c>
      <c r="W16" s="36" t="s">
        <v>267</v>
      </c>
      <c r="X16" s="36" t="s">
        <v>271</v>
      </c>
      <c r="Y16" s="36" t="s">
        <v>290</v>
      </c>
      <c r="Z16" s="36" t="s">
        <v>291</v>
      </c>
      <c r="AA16" s="37" t="s">
        <v>266</v>
      </c>
      <c r="AB16" s="36" t="s">
        <v>508</v>
      </c>
      <c r="AC16" s="188">
        <v>150000000</v>
      </c>
      <c r="AD16" s="35" t="s">
        <v>47</v>
      </c>
      <c r="AE16" s="35" t="s">
        <v>41</v>
      </c>
      <c r="AF16" s="35"/>
      <c r="AG16" s="35"/>
      <c r="AH16" s="503"/>
      <c r="AI16" s="503"/>
      <c r="AJ16" s="102">
        <v>100000000</v>
      </c>
      <c r="AK16" s="35"/>
      <c r="AL16" s="35"/>
      <c r="AM16" s="506"/>
      <c r="AN16" s="36" t="s">
        <v>175</v>
      </c>
      <c r="AO16" s="276" t="s">
        <v>659</v>
      </c>
      <c r="AP16" s="529"/>
      <c r="AQ16" s="529"/>
      <c r="AR16" s="532"/>
      <c r="AS16" s="529"/>
      <c r="AT16" s="529"/>
      <c r="AU16" s="511"/>
      <c r="AV16" s="511"/>
      <c r="AW16" s="4"/>
      <c r="AX16" s="4"/>
      <c r="AY16" s="4"/>
      <c r="AZ16" s="4"/>
      <c r="BA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row>
    <row r="17" spans="1:119" s="105" customFormat="1" ht="289.8">
      <c r="A17" s="142" t="s">
        <v>171</v>
      </c>
      <c r="B17" s="32" t="s">
        <v>109</v>
      </c>
      <c r="C17" s="33" t="s">
        <v>270</v>
      </c>
      <c r="D17" s="32" t="s">
        <v>121</v>
      </c>
      <c r="E17" s="142" t="s">
        <v>175</v>
      </c>
      <c r="F17" s="143">
        <v>2024130010112</v>
      </c>
      <c r="G17" s="133" t="s">
        <v>186</v>
      </c>
      <c r="H17" s="32" t="s">
        <v>199</v>
      </c>
      <c r="I17" s="39" t="s">
        <v>325</v>
      </c>
      <c r="J17" s="166">
        <v>83</v>
      </c>
      <c r="K17" s="110">
        <v>0.25</v>
      </c>
      <c r="L17" s="354" t="s">
        <v>406</v>
      </c>
      <c r="M17" s="35"/>
      <c r="N17" s="36" t="s">
        <v>708</v>
      </c>
      <c r="O17" s="35">
        <v>368</v>
      </c>
      <c r="P17" s="211">
        <v>300</v>
      </c>
      <c r="Q17" s="35">
        <v>83</v>
      </c>
      <c r="R17" s="316">
        <f t="shared" si="1"/>
        <v>0.27666666666666667</v>
      </c>
      <c r="S17" s="186">
        <v>45660</v>
      </c>
      <c r="T17" s="186">
        <v>46022</v>
      </c>
      <c r="U17" s="187">
        <f t="shared" si="0"/>
        <v>362</v>
      </c>
      <c r="V17" s="35" t="s">
        <v>264</v>
      </c>
      <c r="W17" s="36" t="s">
        <v>267</v>
      </c>
      <c r="X17" s="36" t="s">
        <v>271</v>
      </c>
      <c r="Y17" s="36" t="s">
        <v>290</v>
      </c>
      <c r="Z17" s="36" t="s">
        <v>291</v>
      </c>
      <c r="AA17" s="37" t="s">
        <v>266</v>
      </c>
      <c r="AB17" s="36" t="s">
        <v>508</v>
      </c>
      <c r="AC17" s="188">
        <v>1150000000</v>
      </c>
      <c r="AD17" s="35" t="s">
        <v>47</v>
      </c>
      <c r="AE17" s="35" t="s">
        <v>41</v>
      </c>
      <c r="AF17" s="35"/>
      <c r="AG17" s="35"/>
      <c r="AH17" s="503"/>
      <c r="AI17" s="503"/>
      <c r="AJ17" s="102">
        <v>100000000</v>
      </c>
      <c r="AK17" s="35"/>
      <c r="AL17" s="35"/>
      <c r="AM17" s="506"/>
      <c r="AN17" s="36" t="s">
        <v>175</v>
      </c>
      <c r="AO17" s="32" t="s">
        <v>657</v>
      </c>
      <c r="AP17" s="529"/>
      <c r="AQ17" s="529"/>
      <c r="AR17" s="532"/>
      <c r="AS17" s="529"/>
      <c r="AT17" s="529"/>
      <c r="AU17" s="511"/>
      <c r="AV17" s="511"/>
      <c r="AW17" s="4"/>
      <c r="AX17" s="4"/>
      <c r="AY17" s="4"/>
      <c r="AZ17" s="4"/>
      <c r="BA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row>
    <row r="18" spans="1:119" s="105" customFormat="1" ht="139.19999999999999">
      <c r="A18" s="142" t="s">
        <v>171</v>
      </c>
      <c r="B18" s="32" t="s">
        <v>109</v>
      </c>
      <c r="C18" s="33" t="s">
        <v>270</v>
      </c>
      <c r="D18" s="32" t="s">
        <v>121</v>
      </c>
      <c r="E18" s="142" t="s">
        <v>175</v>
      </c>
      <c r="F18" s="143">
        <v>2024130010112</v>
      </c>
      <c r="G18" s="133" t="s">
        <v>186</v>
      </c>
      <c r="H18" s="32" t="s">
        <v>199</v>
      </c>
      <c r="I18" s="39" t="s">
        <v>325</v>
      </c>
      <c r="J18" s="166">
        <v>83</v>
      </c>
      <c r="K18" s="110">
        <v>0.25</v>
      </c>
      <c r="L18" s="354" t="s">
        <v>406</v>
      </c>
      <c r="M18" s="35"/>
      <c r="N18" s="36" t="s">
        <v>709</v>
      </c>
      <c r="O18" s="35">
        <v>368</v>
      </c>
      <c r="P18" s="211">
        <v>300</v>
      </c>
      <c r="Q18" s="35">
        <v>83</v>
      </c>
      <c r="R18" s="316">
        <f t="shared" si="1"/>
        <v>0.27666666666666667</v>
      </c>
      <c r="S18" s="186">
        <v>45660</v>
      </c>
      <c r="T18" s="186">
        <v>46022</v>
      </c>
      <c r="U18" s="187">
        <f t="shared" si="0"/>
        <v>362</v>
      </c>
      <c r="V18" s="35" t="s">
        <v>264</v>
      </c>
      <c r="W18" s="36" t="s">
        <v>267</v>
      </c>
      <c r="X18" s="36" t="s">
        <v>271</v>
      </c>
      <c r="Y18" s="36" t="s">
        <v>290</v>
      </c>
      <c r="Z18" s="36" t="s">
        <v>291</v>
      </c>
      <c r="AA18" s="37" t="s">
        <v>266</v>
      </c>
      <c r="AB18" s="36" t="s">
        <v>624</v>
      </c>
      <c r="AC18" s="188">
        <v>220000000</v>
      </c>
      <c r="AD18" s="35" t="s">
        <v>44</v>
      </c>
      <c r="AE18" s="35" t="s">
        <v>41</v>
      </c>
      <c r="AF18" s="35"/>
      <c r="AG18" s="35"/>
      <c r="AH18" s="503"/>
      <c r="AI18" s="503"/>
      <c r="AJ18" s="102">
        <v>100000000</v>
      </c>
      <c r="AK18" s="35"/>
      <c r="AL18" s="35"/>
      <c r="AM18" s="506"/>
      <c r="AN18" s="36" t="s">
        <v>175</v>
      </c>
      <c r="AO18" s="276" t="s">
        <v>658</v>
      </c>
      <c r="AP18" s="529"/>
      <c r="AQ18" s="529"/>
      <c r="AR18" s="532"/>
      <c r="AS18" s="529"/>
      <c r="AT18" s="529"/>
      <c r="AU18" s="511"/>
      <c r="AV18" s="511"/>
      <c r="AW18" s="4"/>
      <c r="AX18" s="4"/>
      <c r="AY18" s="4"/>
      <c r="AZ18" s="4"/>
      <c r="BA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row>
    <row r="19" spans="1:119" s="105" customFormat="1" ht="191.4">
      <c r="A19" s="142" t="s">
        <v>171</v>
      </c>
      <c r="B19" s="32" t="s">
        <v>109</v>
      </c>
      <c r="C19" s="33" t="s">
        <v>270</v>
      </c>
      <c r="D19" s="32" t="s">
        <v>121</v>
      </c>
      <c r="E19" s="142" t="s">
        <v>175</v>
      </c>
      <c r="F19" s="143">
        <v>2024130010112</v>
      </c>
      <c r="G19" s="133" t="s">
        <v>186</v>
      </c>
      <c r="H19" s="32" t="s">
        <v>199</v>
      </c>
      <c r="I19" s="39" t="s">
        <v>325</v>
      </c>
      <c r="J19" s="166">
        <v>83</v>
      </c>
      <c r="K19" s="110">
        <v>0.25</v>
      </c>
      <c r="L19" s="36" t="s">
        <v>406</v>
      </c>
      <c r="M19" s="35"/>
      <c r="N19" s="36" t="s">
        <v>710</v>
      </c>
      <c r="O19" s="35">
        <v>368</v>
      </c>
      <c r="P19" s="211">
        <v>300</v>
      </c>
      <c r="Q19" s="35">
        <v>83</v>
      </c>
      <c r="R19" s="316">
        <f t="shared" si="1"/>
        <v>0.27666666666666667</v>
      </c>
      <c r="S19" s="186">
        <v>45660</v>
      </c>
      <c r="T19" s="186">
        <v>46022</v>
      </c>
      <c r="U19" s="187">
        <f t="shared" si="0"/>
        <v>362</v>
      </c>
      <c r="V19" s="35" t="s">
        <v>264</v>
      </c>
      <c r="W19" s="36" t="s">
        <v>267</v>
      </c>
      <c r="X19" s="36" t="s">
        <v>271</v>
      </c>
      <c r="Y19" s="36" t="s">
        <v>290</v>
      </c>
      <c r="Z19" s="36" t="s">
        <v>291</v>
      </c>
      <c r="AA19" s="37" t="s">
        <v>266</v>
      </c>
      <c r="AB19" s="36" t="s">
        <v>625</v>
      </c>
      <c r="AC19" s="188">
        <v>3000000000</v>
      </c>
      <c r="AD19" s="36" t="s">
        <v>414</v>
      </c>
      <c r="AE19" s="35" t="s">
        <v>41</v>
      </c>
      <c r="AF19" s="35"/>
      <c r="AG19" s="35"/>
      <c r="AH19" s="503"/>
      <c r="AI19" s="503"/>
      <c r="AJ19" s="102">
        <v>100000000</v>
      </c>
      <c r="AK19" s="35"/>
      <c r="AL19" s="35"/>
      <c r="AM19" s="506"/>
      <c r="AN19" s="36" t="s">
        <v>175</v>
      </c>
      <c r="AO19" s="276" t="s">
        <v>659</v>
      </c>
      <c r="AP19" s="529"/>
      <c r="AQ19" s="529"/>
      <c r="AR19" s="532"/>
      <c r="AS19" s="529"/>
      <c r="AT19" s="529"/>
      <c r="AU19" s="511"/>
      <c r="AV19" s="511"/>
      <c r="AW19" s="4"/>
      <c r="AX19" s="4"/>
      <c r="AY19" s="4"/>
      <c r="AZ19" s="4"/>
      <c r="BA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row>
    <row r="20" spans="1:119" s="105" customFormat="1" ht="289.8">
      <c r="A20" s="142" t="s">
        <v>171</v>
      </c>
      <c r="B20" s="32" t="s">
        <v>109</v>
      </c>
      <c r="C20" s="33" t="s">
        <v>270</v>
      </c>
      <c r="D20" s="32" t="s">
        <v>121</v>
      </c>
      <c r="E20" s="142" t="s">
        <v>175</v>
      </c>
      <c r="F20" s="143">
        <v>2024130010112</v>
      </c>
      <c r="G20" s="133" t="s">
        <v>186</v>
      </c>
      <c r="H20" s="32" t="s">
        <v>199</v>
      </c>
      <c r="I20" s="39" t="s">
        <v>325</v>
      </c>
      <c r="J20" s="166">
        <v>83</v>
      </c>
      <c r="K20" s="110">
        <v>0.25</v>
      </c>
      <c r="L20" s="36" t="s">
        <v>406</v>
      </c>
      <c r="M20" s="35"/>
      <c r="N20" s="36" t="s">
        <v>709</v>
      </c>
      <c r="O20" s="35">
        <v>368</v>
      </c>
      <c r="P20" s="211">
        <v>300</v>
      </c>
      <c r="Q20" s="35">
        <v>83</v>
      </c>
      <c r="R20" s="316">
        <f t="shared" si="1"/>
        <v>0.27666666666666667</v>
      </c>
      <c r="S20" s="186">
        <v>45660</v>
      </c>
      <c r="T20" s="186">
        <v>46022</v>
      </c>
      <c r="U20" s="187">
        <f t="shared" si="0"/>
        <v>362</v>
      </c>
      <c r="V20" s="35" t="s">
        <v>264</v>
      </c>
      <c r="W20" s="36" t="s">
        <v>267</v>
      </c>
      <c r="X20" s="36" t="s">
        <v>271</v>
      </c>
      <c r="Y20" s="36" t="s">
        <v>290</v>
      </c>
      <c r="Z20" s="36" t="s">
        <v>291</v>
      </c>
      <c r="AA20" s="37" t="s">
        <v>266</v>
      </c>
      <c r="AB20" s="36" t="s">
        <v>626</v>
      </c>
      <c r="AC20" s="188">
        <v>2000000000</v>
      </c>
      <c r="AD20" s="35" t="s">
        <v>42</v>
      </c>
      <c r="AE20" s="35" t="s">
        <v>41</v>
      </c>
      <c r="AF20" s="35"/>
      <c r="AG20" s="35"/>
      <c r="AH20" s="503"/>
      <c r="AI20" s="503"/>
      <c r="AJ20" s="102">
        <v>100000000</v>
      </c>
      <c r="AK20" s="35"/>
      <c r="AL20" s="35"/>
      <c r="AM20" s="506"/>
      <c r="AN20" s="36" t="s">
        <v>175</v>
      </c>
      <c r="AO20" s="32" t="s">
        <v>657</v>
      </c>
      <c r="AP20" s="529"/>
      <c r="AQ20" s="529"/>
      <c r="AR20" s="532"/>
      <c r="AS20" s="529"/>
      <c r="AT20" s="529"/>
      <c r="AU20" s="511"/>
      <c r="AV20" s="511"/>
      <c r="AW20" s="4"/>
      <c r="AX20" s="4"/>
      <c r="AY20" s="4"/>
      <c r="AZ20" s="4"/>
      <c r="BA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row>
    <row r="21" spans="1:119" s="105" customFormat="1" ht="139.19999999999999">
      <c r="A21" s="142" t="s">
        <v>171</v>
      </c>
      <c r="B21" s="32" t="s">
        <v>109</v>
      </c>
      <c r="C21" s="33" t="s">
        <v>270</v>
      </c>
      <c r="D21" s="32" t="s">
        <v>121</v>
      </c>
      <c r="E21" s="142" t="s">
        <v>175</v>
      </c>
      <c r="F21" s="143">
        <v>2024130010112</v>
      </c>
      <c r="G21" s="133" t="s">
        <v>186</v>
      </c>
      <c r="H21" s="32" t="s">
        <v>199</v>
      </c>
      <c r="I21" s="39" t="s">
        <v>325</v>
      </c>
      <c r="J21" s="166">
        <v>83</v>
      </c>
      <c r="K21" s="110">
        <v>0.25</v>
      </c>
      <c r="L21" s="36" t="s">
        <v>408</v>
      </c>
      <c r="M21" s="35"/>
      <c r="N21" s="36" t="s">
        <v>550</v>
      </c>
      <c r="O21" s="35">
        <v>368</v>
      </c>
      <c r="P21" s="211">
        <v>300</v>
      </c>
      <c r="Q21" s="35">
        <v>83</v>
      </c>
      <c r="R21" s="316">
        <f t="shared" si="1"/>
        <v>0.27666666666666667</v>
      </c>
      <c r="S21" s="186">
        <v>45660</v>
      </c>
      <c r="T21" s="186">
        <v>46022</v>
      </c>
      <c r="U21" s="187">
        <f t="shared" si="0"/>
        <v>362</v>
      </c>
      <c r="V21" s="35" t="s">
        <v>264</v>
      </c>
      <c r="W21" s="36" t="s">
        <v>267</v>
      </c>
      <c r="X21" s="36" t="s">
        <v>271</v>
      </c>
      <c r="Y21" s="36" t="s">
        <v>290</v>
      </c>
      <c r="Z21" s="36" t="s">
        <v>291</v>
      </c>
      <c r="AA21" s="37" t="s">
        <v>266</v>
      </c>
      <c r="AB21" s="36" t="s">
        <v>508</v>
      </c>
      <c r="AC21" s="188">
        <v>400000000</v>
      </c>
      <c r="AD21" s="35" t="s">
        <v>47</v>
      </c>
      <c r="AE21" s="35" t="s">
        <v>41</v>
      </c>
      <c r="AF21" s="35"/>
      <c r="AG21" s="35"/>
      <c r="AH21" s="503"/>
      <c r="AI21" s="503"/>
      <c r="AJ21" s="102">
        <v>100000000</v>
      </c>
      <c r="AK21" s="35"/>
      <c r="AL21" s="35"/>
      <c r="AM21" s="506"/>
      <c r="AN21" s="36" t="s">
        <v>175</v>
      </c>
      <c r="AO21" s="276" t="s">
        <v>658</v>
      </c>
      <c r="AP21" s="529"/>
      <c r="AQ21" s="529"/>
      <c r="AR21" s="532"/>
      <c r="AS21" s="529"/>
      <c r="AT21" s="529"/>
      <c r="AU21" s="511"/>
      <c r="AV21" s="511"/>
      <c r="AW21" s="4"/>
      <c r="AX21" s="4"/>
      <c r="AY21" s="4"/>
      <c r="AZ21" s="4"/>
      <c r="BA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row>
    <row r="22" spans="1:119" s="105" customFormat="1" ht="191.4">
      <c r="A22" s="142" t="s">
        <v>171</v>
      </c>
      <c r="B22" s="32" t="s">
        <v>109</v>
      </c>
      <c r="C22" s="33" t="s">
        <v>270</v>
      </c>
      <c r="D22" s="32" t="s">
        <v>121</v>
      </c>
      <c r="E22" s="142" t="s">
        <v>175</v>
      </c>
      <c r="F22" s="143">
        <v>2024130010112</v>
      </c>
      <c r="G22" s="133" t="s">
        <v>186</v>
      </c>
      <c r="H22" s="32" t="s">
        <v>199</v>
      </c>
      <c r="I22" s="39" t="s">
        <v>325</v>
      </c>
      <c r="J22" s="166">
        <v>83</v>
      </c>
      <c r="K22" s="110">
        <v>0.25</v>
      </c>
      <c r="L22" s="36" t="s">
        <v>407</v>
      </c>
      <c r="M22" s="35"/>
      <c r="N22" s="36" t="s">
        <v>550</v>
      </c>
      <c r="O22" s="35">
        <v>368</v>
      </c>
      <c r="P22" s="211">
        <v>300</v>
      </c>
      <c r="Q22" s="35">
        <v>83</v>
      </c>
      <c r="R22" s="316">
        <f t="shared" si="1"/>
        <v>0.27666666666666667</v>
      </c>
      <c r="S22" s="186">
        <v>45660</v>
      </c>
      <c r="T22" s="186">
        <v>46022</v>
      </c>
      <c r="U22" s="187">
        <f t="shared" si="0"/>
        <v>362</v>
      </c>
      <c r="V22" s="35" t="s">
        <v>264</v>
      </c>
      <c r="W22" s="36" t="s">
        <v>267</v>
      </c>
      <c r="X22" s="36" t="s">
        <v>271</v>
      </c>
      <c r="Y22" s="36" t="s">
        <v>290</v>
      </c>
      <c r="Z22" s="36" t="s">
        <v>291</v>
      </c>
      <c r="AA22" s="37" t="s">
        <v>266</v>
      </c>
      <c r="AB22" s="36" t="s">
        <v>508</v>
      </c>
      <c r="AC22" s="188">
        <v>1300000000</v>
      </c>
      <c r="AD22" s="35" t="s">
        <v>47</v>
      </c>
      <c r="AE22" s="35" t="s">
        <v>41</v>
      </c>
      <c r="AF22" s="35"/>
      <c r="AG22" s="35"/>
      <c r="AH22" s="503"/>
      <c r="AI22" s="503"/>
      <c r="AJ22" s="102">
        <v>100000000</v>
      </c>
      <c r="AK22" s="35"/>
      <c r="AL22" s="35"/>
      <c r="AM22" s="506"/>
      <c r="AN22" s="36" t="s">
        <v>175</v>
      </c>
      <c r="AO22" s="276" t="s">
        <v>659</v>
      </c>
      <c r="AP22" s="529"/>
      <c r="AQ22" s="529"/>
      <c r="AR22" s="532"/>
      <c r="AS22" s="529"/>
      <c r="AT22" s="529"/>
      <c r="AU22" s="511"/>
      <c r="AV22" s="511"/>
      <c r="AW22" s="4"/>
      <c r="AX22" s="4"/>
      <c r="AY22" s="4"/>
      <c r="AZ22" s="4"/>
      <c r="BA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row>
    <row r="23" spans="1:119" s="105" customFormat="1" ht="289.8">
      <c r="A23" s="142" t="s">
        <v>171</v>
      </c>
      <c r="B23" s="32" t="s">
        <v>109</v>
      </c>
      <c r="C23" s="33" t="s">
        <v>270</v>
      </c>
      <c r="D23" s="32" t="s">
        <v>121</v>
      </c>
      <c r="E23" s="142" t="s">
        <v>175</v>
      </c>
      <c r="F23" s="143">
        <v>2024130010112</v>
      </c>
      <c r="G23" s="133" t="s">
        <v>186</v>
      </c>
      <c r="H23" s="32" t="s">
        <v>199</v>
      </c>
      <c r="I23" s="39" t="s">
        <v>325</v>
      </c>
      <c r="J23" s="166">
        <v>83</v>
      </c>
      <c r="K23" s="110">
        <v>0.25</v>
      </c>
      <c r="L23" s="36" t="s">
        <v>407</v>
      </c>
      <c r="M23" s="35"/>
      <c r="N23" s="36" t="s">
        <v>550</v>
      </c>
      <c r="O23" s="35">
        <v>368</v>
      </c>
      <c r="P23" s="211">
        <v>300</v>
      </c>
      <c r="Q23" s="35">
        <v>83</v>
      </c>
      <c r="R23" s="316">
        <f t="shared" si="1"/>
        <v>0.27666666666666667</v>
      </c>
      <c r="S23" s="186">
        <v>45660</v>
      </c>
      <c r="T23" s="186">
        <v>46022</v>
      </c>
      <c r="U23" s="187">
        <f t="shared" si="0"/>
        <v>362</v>
      </c>
      <c r="V23" s="35" t="s">
        <v>264</v>
      </c>
      <c r="W23" s="36" t="s">
        <v>267</v>
      </c>
      <c r="X23" s="36" t="s">
        <v>271</v>
      </c>
      <c r="Y23" s="36" t="s">
        <v>290</v>
      </c>
      <c r="Z23" s="36" t="s">
        <v>291</v>
      </c>
      <c r="AA23" s="37" t="s">
        <v>266</v>
      </c>
      <c r="AB23" s="36" t="s">
        <v>509</v>
      </c>
      <c r="AC23" s="188">
        <v>200000000</v>
      </c>
      <c r="AD23" s="35" t="s">
        <v>48</v>
      </c>
      <c r="AE23" s="35" t="s">
        <v>41</v>
      </c>
      <c r="AF23" s="35"/>
      <c r="AG23" s="35"/>
      <c r="AH23" s="503"/>
      <c r="AI23" s="503"/>
      <c r="AJ23" s="102">
        <v>100000000</v>
      </c>
      <c r="AK23" s="35"/>
      <c r="AL23" s="35"/>
      <c r="AM23" s="506"/>
      <c r="AN23" s="36" t="s">
        <v>175</v>
      </c>
      <c r="AO23" s="32" t="s">
        <v>657</v>
      </c>
      <c r="AP23" s="529"/>
      <c r="AQ23" s="529"/>
      <c r="AR23" s="532"/>
      <c r="AS23" s="529"/>
      <c r="AT23" s="529"/>
      <c r="AU23" s="511"/>
      <c r="AV23" s="511"/>
      <c r="AW23" s="4"/>
      <c r="AX23" s="4"/>
      <c r="AY23" s="4"/>
      <c r="AZ23" s="4"/>
      <c r="BA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row>
    <row r="24" spans="1:119" s="105" customFormat="1" ht="139.19999999999999">
      <c r="A24" s="142" t="s">
        <v>171</v>
      </c>
      <c r="B24" s="32" t="s">
        <v>109</v>
      </c>
      <c r="C24" s="33" t="s">
        <v>270</v>
      </c>
      <c r="D24" s="32" t="s">
        <v>121</v>
      </c>
      <c r="E24" s="142" t="s">
        <v>175</v>
      </c>
      <c r="F24" s="143">
        <v>2024130010112</v>
      </c>
      <c r="G24" s="133" t="s">
        <v>186</v>
      </c>
      <c r="H24" s="32" t="s">
        <v>199</v>
      </c>
      <c r="I24" s="39" t="s">
        <v>325</v>
      </c>
      <c r="J24" s="166">
        <v>83</v>
      </c>
      <c r="K24" s="110">
        <v>0.25</v>
      </c>
      <c r="L24" s="36" t="s">
        <v>407</v>
      </c>
      <c r="M24" s="35"/>
      <c r="N24" s="36" t="s">
        <v>550</v>
      </c>
      <c r="O24" s="35">
        <v>368</v>
      </c>
      <c r="P24" s="211">
        <v>300</v>
      </c>
      <c r="Q24" s="35">
        <v>83</v>
      </c>
      <c r="R24" s="316">
        <f t="shared" si="1"/>
        <v>0.27666666666666667</v>
      </c>
      <c r="S24" s="186">
        <v>45660</v>
      </c>
      <c r="T24" s="186">
        <v>46022</v>
      </c>
      <c r="U24" s="187">
        <f t="shared" si="0"/>
        <v>362</v>
      </c>
      <c r="V24" s="35" t="s">
        <v>264</v>
      </c>
      <c r="W24" s="36" t="s">
        <v>267</v>
      </c>
      <c r="X24" s="36" t="s">
        <v>271</v>
      </c>
      <c r="Y24" s="36" t="s">
        <v>290</v>
      </c>
      <c r="Z24" s="36" t="s">
        <v>291</v>
      </c>
      <c r="AA24" s="37" t="s">
        <v>266</v>
      </c>
      <c r="AB24" s="36" t="s">
        <v>627</v>
      </c>
      <c r="AC24" s="188">
        <v>50000000</v>
      </c>
      <c r="AD24" s="35" t="s">
        <v>48</v>
      </c>
      <c r="AE24" s="35" t="s">
        <v>41</v>
      </c>
      <c r="AF24" s="35"/>
      <c r="AG24" s="35"/>
      <c r="AH24" s="503"/>
      <c r="AI24" s="503"/>
      <c r="AJ24" s="102">
        <v>100000000</v>
      </c>
      <c r="AK24" s="35"/>
      <c r="AL24" s="35"/>
      <c r="AM24" s="506"/>
      <c r="AN24" s="36" t="s">
        <v>175</v>
      </c>
      <c r="AO24" s="276" t="s">
        <v>658</v>
      </c>
      <c r="AP24" s="529"/>
      <c r="AQ24" s="529"/>
      <c r="AR24" s="532"/>
      <c r="AS24" s="529"/>
      <c r="AT24" s="529"/>
      <c r="AU24" s="511"/>
      <c r="AV24" s="511"/>
      <c r="AW24" s="4"/>
      <c r="AX24" s="4"/>
      <c r="AY24" s="4"/>
      <c r="AZ24" s="4"/>
      <c r="BA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row>
    <row r="25" spans="1:119" s="105" customFormat="1" ht="191.4">
      <c r="A25" s="142" t="s">
        <v>171</v>
      </c>
      <c r="B25" s="32" t="s">
        <v>109</v>
      </c>
      <c r="C25" s="33" t="s">
        <v>270</v>
      </c>
      <c r="D25" s="32" t="s">
        <v>121</v>
      </c>
      <c r="E25" s="142" t="s">
        <v>175</v>
      </c>
      <c r="F25" s="143">
        <v>2024130010112</v>
      </c>
      <c r="G25" s="133" t="s">
        <v>186</v>
      </c>
      <c r="H25" s="32" t="s">
        <v>199</v>
      </c>
      <c r="I25" s="39" t="s">
        <v>325</v>
      </c>
      <c r="J25" s="166">
        <v>83</v>
      </c>
      <c r="K25" s="110">
        <v>0.25</v>
      </c>
      <c r="L25" s="36" t="s">
        <v>407</v>
      </c>
      <c r="M25" s="35"/>
      <c r="N25" s="36" t="s">
        <v>550</v>
      </c>
      <c r="O25" s="36">
        <v>368</v>
      </c>
      <c r="P25" s="211">
        <v>300</v>
      </c>
      <c r="Q25" s="35">
        <v>83</v>
      </c>
      <c r="R25" s="316">
        <f t="shared" si="1"/>
        <v>0.27666666666666667</v>
      </c>
      <c r="S25" s="186">
        <v>45660</v>
      </c>
      <c r="T25" s="186">
        <v>46022</v>
      </c>
      <c r="U25" s="187">
        <f t="shared" si="0"/>
        <v>362</v>
      </c>
      <c r="V25" s="35" t="s">
        <v>264</v>
      </c>
      <c r="W25" s="36" t="s">
        <v>267</v>
      </c>
      <c r="X25" s="36" t="s">
        <v>271</v>
      </c>
      <c r="Y25" s="36" t="s">
        <v>290</v>
      </c>
      <c r="Z25" s="36" t="s">
        <v>291</v>
      </c>
      <c r="AA25" s="37" t="s">
        <v>266</v>
      </c>
      <c r="AB25" s="36" t="s">
        <v>628</v>
      </c>
      <c r="AC25" s="188">
        <v>10000000</v>
      </c>
      <c r="AD25" s="35" t="s">
        <v>48</v>
      </c>
      <c r="AE25" s="35" t="s">
        <v>41</v>
      </c>
      <c r="AF25" s="35"/>
      <c r="AG25" s="35"/>
      <c r="AH25" s="503"/>
      <c r="AI25" s="503"/>
      <c r="AJ25" s="35"/>
      <c r="AK25" s="35"/>
      <c r="AL25" s="35"/>
      <c r="AM25" s="506"/>
      <c r="AN25" s="36" t="s">
        <v>175</v>
      </c>
      <c r="AO25" s="276" t="s">
        <v>659</v>
      </c>
      <c r="AP25" s="529"/>
      <c r="AQ25" s="529"/>
      <c r="AR25" s="532"/>
      <c r="AS25" s="529"/>
      <c r="AT25" s="529"/>
      <c r="AU25" s="511"/>
      <c r="AV25" s="511"/>
      <c r="AW25" s="4"/>
      <c r="AX25" s="4"/>
      <c r="AY25" s="4"/>
      <c r="AZ25" s="4"/>
      <c r="BA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row>
    <row r="26" spans="1:119" s="105" customFormat="1" ht="289.8">
      <c r="A26" s="142" t="s">
        <v>171</v>
      </c>
      <c r="B26" s="32" t="s">
        <v>109</v>
      </c>
      <c r="C26" s="33" t="s">
        <v>270</v>
      </c>
      <c r="D26" s="32" t="s">
        <v>121</v>
      </c>
      <c r="E26" s="142" t="s">
        <v>175</v>
      </c>
      <c r="F26" s="143">
        <v>2024130010112</v>
      </c>
      <c r="G26" s="133" t="s">
        <v>186</v>
      </c>
      <c r="H26" s="32" t="s">
        <v>199</v>
      </c>
      <c r="I26" s="39" t="s">
        <v>325</v>
      </c>
      <c r="J26" s="166">
        <v>83</v>
      </c>
      <c r="K26" s="110">
        <v>0.25</v>
      </c>
      <c r="L26" s="36" t="s">
        <v>407</v>
      </c>
      <c r="M26" s="35"/>
      <c r="N26" s="36" t="s">
        <v>550</v>
      </c>
      <c r="O26" s="35">
        <v>368</v>
      </c>
      <c r="P26" s="211">
        <v>300</v>
      </c>
      <c r="Q26" s="35">
        <v>83</v>
      </c>
      <c r="R26" s="316">
        <f t="shared" si="1"/>
        <v>0.27666666666666667</v>
      </c>
      <c r="S26" s="186">
        <v>45660</v>
      </c>
      <c r="T26" s="186">
        <v>46022</v>
      </c>
      <c r="U26" s="187">
        <f t="shared" si="0"/>
        <v>362</v>
      </c>
      <c r="V26" s="35" t="s">
        <v>264</v>
      </c>
      <c r="W26" s="36" t="s">
        <v>267</v>
      </c>
      <c r="X26" s="36" t="s">
        <v>271</v>
      </c>
      <c r="Y26" s="36" t="s">
        <v>290</v>
      </c>
      <c r="Z26" s="36" t="s">
        <v>291</v>
      </c>
      <c r="AA26" s="37" t="s">
        <v>266</v>
      </c>
      <c r="AB26" s="36" t="s">
        <v>629</v>
      </c>
      <c r="AC26" s="188">
        <v>55000000</v>
      </c>
      <c r="AD26" s="35" t="s">
        <v>48</v>
      </c>
      <c r="AE26" s="35" t="s">
        <v>41</v>
      </c>
      <c r="AF26" s="35"/>
      <c r="AG26" s="35"/>
      <c r="AH26" s="503"/>
      <c r="AI26" s="503"/>
      <c r="AJ26" s="35"/>
      <c r="AK26" s="35"/>
      <c r="AL26" s="35"/>
      <c r="AM26" s="506"/>
      <c r="AN26" s="36" t="s">
        <v>175</v>
      </c>
      <c r="AO26" s="32" t="s">
        <v>657</v>
      </c>
      <c r="AP26" s="529"/>
      <c r="AQ26" s="529"/>
      <c r="AR26" s="532"/>
      <c r="AS26" s="529"/>
      <c r="AT26" s="529"/>
      <c r="AU26" s="511"/>
      <c r="AV26" s="511"/>
      <c r="AW26" s="4"/>
      <c r="AX26" s="4"/>
      <c r="AY26" s="4"/>
      <c r="AZ26" s="4"/>
      <c r="BA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row>
    <row r="27" spans="1:119" s="105" customFormat="1" ht="139.19999999999999">
      <c r="A27" s="142" t="s">
        <v>171</v>
      </c>
      <c r="B27" s="32" t="s">
        <v>109</v>
      </c>
      <c r="C27" s="33" t="s">
        <v>270</v>
      </c>
      <c r="D27" s="32" t="s">
        <v>121</v>
      </c>
      <c r="E27" s="142" t="s">
        <v>175</v>
      </c>
      <c r="F27" s="143">
        <v>2024130010112</v>
      </c>
      <c r="G27" s="133" t="s">
        <v>186</v>
      </c>
      <c r="H27" s="32" t="s">
        <v>199</v>
      </c>
      <c r="I27" s="39" t="s">
        <v>325</v>
      </c>
      <c r="J27" s="166">
        <v>83</v>
      </c>
      <c r="K27" s="110">
        <v>0.25</v>
      </c>
      <c r="L27" s="36" t="s">
        <v>407</v>
      </c>
      <c r="M27" s="35"/>
      <c r="N27" s="36" t="s">
        <v>550</v>
      </c>
      <c r="O27" s="36">
        <v>368</v>
      </c>
      <c r="P27" s="211">
        <v>300</v>
      </c>
      <c r="Q27" s="35">
        <v>83</v>
      </c>
      <c r="R27" s="316">
        <f t="shared" si="1"/>
        <v>0.27666666666666667</v>
      </c>
      <c r="S27" s="186">
        <v>45660</v>
      </c>
      <c r="T27" s="186">
        <v>46022</v>
      </c>
      <c r="U27" s="187">
        <f t="shared" si="0"/>
        <v>362</v>
      </c>
      <c r="V27" s="35" t="s">
        <v>264</v>
      </c>
      <c r="W27" s="36" t="s">
        <v>267</v>
      </c>
      <c r="X27" s="36" t="s">
        <v>271</v>
      </c>
      <c r="Y27" s="36" t="s">
        <v>290</v>
      </c>
      <c r="Z27" s="36" t="s">
        <v>291</v>
      </c>
      <c r="AA27" s="37" t="s">
        <v>266</v>
      </c>
      <c r="AB27" s="36" t="s">
        <v>630</v>
      </c>
      <c r="AC27" s="188">
        <v>220000000</v>
      </c>
      <c r="AD27" s="35" t="s">
        <v>48</v>
      </c>
      <c r="AE27" s="35" t="s">
        <v>41</v>
      </c>
      <c r="AF27" s="35"/>
      <c r="AG27" s="35"/>
      <c r="AH27" s="503"/>
      <c r="AI27" s="503"/>
      <c r="AJ27" s="102">
        <v>540871914</v>
      </c>
      <c r="AK27" s="35"/>
      <c r="AL27" s="35"/>
      <c r="AM27" s="506"/>
      <c r="AN27" s="36" t="s">
        <v>175</v>
      </c>
      <c r="AO27" s="276" t="s">
        <v>658</v>
      </c>
      <c r="AP27" s="529"/>
      <c r="AQ27" s="529"/>
      <c r="AR27" s="532"/>
      <c r="AS27" s="529"/>
      <c r="AT27" s="529"/>
      <c r="AU27" s="511"/>
      <c r="AV27" s="511"/>
      <c r="AW27" s="4"/>
      <c r="AX27" s="4"/>
      <c r="AY27" s="4"/>
      <c r="AZ27" s="4"/>
      <c r="BA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row>
    <row r="28" spans="1:119" s="105" customFormat="1" ht="191.4">
      <c r="A28" s="32" t="s">
        <v>171</v>
      </c>
      <c r="B28" s="32" t="s">
        <v>109</v>
      </c>
      <c r="C28" s="33" t="s">
        <v>270</v>
      </c>
      <c r="D28" s="32" t="s">
        <v>121</v>
      </c>
      <c r="E28" s="32" t="s">
        <v>175</v>
      </c>
      <c r="F28" s="34">
        <v>2024130010112</v>
      </c>
      <c r="G28" s="133" t="s">
        <v>186</v>
      </c>
      <c r="H28" s="32" t="s">
        <v>199</v>
      </c>
      <c r="I28" s="39" t="s">
        <v>325</v>
      </c>
      <c r="J28" s="166">
        <v>83</v>
      </c>
      <c r="K28" s="110">
        <v>0.25</v>
      </c>
      <c r="L28" s="36" t="s">
        <v>407</v>
      </c>
      <c r="M28" s="35"/>
      <c r="N28" s="36" t="s">
        <v>550</v>
      </c>
      <c r="O28" s="36">
        <v>368</v>
      </c>
      <c r="P28" s="211">
        <v>300</v>
      </c>
      <c r="Q28" s="35">
        <v>83</v>
      </c>
      <c r="R28" s="316">
        <f t="shared" si="1"/>
        <v>0.27666666666666667</v>
      </c>
      <c r="S28" s="186">
        <v>45660</v>
      </c>
      <c r="T28" s="186">
        <v>46022</v>
      </c>
      <c r="U28" s="187">
        <f t="shared" si="0"/>
        <v>362</v>
      </c>
      <c r="V28" s="35" t="s">
        <v>264</v>
      </c>
      <c r="W28" s="36" t="s">
        <v>267</v>
      </c>
      <c r="X28" s="36" t="s">
        <v>271</v>
      </c>
      <c r="Y28" s="36" t="s">
        <v>290</v>
      </c>
      <c r="Z28" s="36" t="s">
        <v>291</v>
      </c>
      <c r="AA28" s="37" t="s">
        <v>266</v>
      </c>
      <c r="AB28" s="36" t="s">
        <v>519</v>
      </c>
      <c r="AC28" s="188">
        <v>280000000</v>
      </c>
      <c r="AD28" s="35" t="s">
        <v>48</v>
      </c>
      <c r="AE28" s="35" t="s">
        <v>41</v>
      </c>
      <c r="AF28" s="35"/>
      <c r="AG28" s="35"/>
      <c r="AH28" s="503"/>
      <c r="AI28" s="503"/>
      <c r="AJ28" s="35"/>
      <c r="AK28" s="35"/>
      <c r="AL28" s="35"/>
      <c r="AM28" s="506"/>
      <c r="AN28" s="36" t="s">
        <v>175</v>
      </c>
      <c r="AO28" s="276" t="s">
        <v>659</v>
      </c>
      <c r="AP28" s="529"/>
      <c r="AQ28" s="529"/>
      <c r="AR28" s="532"/>
      <c r="AS28" s="529"/>
      <c r="AT28" s="529"/>
      <c r="AU28" s="511"/>
      <c r="AV28" s="511"/>
      <c r="AW28" s="4"/>
      <c r="AX28" s="4"/>
      <c r="AY28" s="4"/>
      <c r="AZ28" s="4"/>
      <c r="BA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row>
    <row r="29" spans="1:119" s="105" customFormat="1" ht="289.8">
      <c r="A29" s="142" t="s">
        <v>171</v>
      </c>
      <c r="B29" s="32" t="s">
        <v>109</v>
      </c>
      <c r="C29" s="33" t="s">
        <v>270</v>
      </c>
      <c r="D29" s="32" t="s">
        <v>121</v>
      </c>
      <c r="E29" s="142" t="s">
        <v>175</v>
      </c>
      <c r="F29" s="143">
        <v>2024130010112</v>
      </c>
      <c r="G29" s="133" t="s">
        <v>186</v>
      </c>
      <c r="H29" s="32" t="s">
        <v>199</v>
      </c>
      <c r="I29" s="39" t="s">
        <v>325</v>
      </c>
      <c r="J29" s="166">
        <v>83</v>
      </c>
      <c r="K29" s="110">
        <v>0.25</v>
      </c>
      <c r="L29" s="36" t="s">
        <v>407</v>
      </c>
      <c r="M29" s="35"/>
      <c r="N29" s="36" t="s">
        <v>550</v>
      </c>
      <c r="O29" s="36">
        <v>368</v>
      </c>
      <c r="P29" s="211">
        <v>300</v>
      </c>
      <c r="Q29" s="35">
        <v>83</v>
      </c>
      <c r="R29" s="316">
        <f t="shared" si="1"/>
        <v>0.27666666666666667</v>
      </c>
      <c r="S29" s="186">
        <v>45660</v>
      </c>
      <c r="T29" s="186">
        <v>46022</v>
      </c>
      <c r="U29" s="187">
        <f t="shared" si="0"/>
        <v>362</v>
      </c>
      <c r="V29" s="35" t="s">
        <v>264</v>
      </c>
      <c r="W29" s="36" t="s">
        <v>267</v>
      </c>
      <c r="X29" s="36" t="s">
        <v>271</v>
      </c>
      <c r="Y29" s="36" t="s">
        <v>290</v>
      </c>
      <c r="Z29" s="36" t="s">
        <v>291</v>
      </c>
      <c r="AA29" s="37" t="s">
        <v>266</v>
      </c>
      <c r="AB29" s="36" t="s">
        <v>631</v>
      </c>
      <c r="AC29" s="188">
        <v>300000000</v>
      </c>
      <c r="AD29" s="35" t="s">
        <v>44</v>
      </c>
      <c r="AE29" s="35" t="s">
        <v>41</v>
      </c>
      <c r="AF29" s="35"/>
      <c r="AG29" s="35"/>
      <c r="AH29" s="503"/>
      <c r="AI29" s="503"/>
      <c r="AJ29" s="102">
        <v>100000000</v>
      </c>
      <c r="AK29" s="35"/>
      <c r="AL29" s="35"/>
      <c r="AM29" s="506"/>
      <c r="AN29" s="36" t="s">
        <v>175</v>
      </c>
      <c r="AO29" s="32" t="s">
        <v>657</v>
      </c>
      <c r="AP29" s="529"/>
      <c r="AQ29" s="529"/>
      <c r="AR29" s="532"/>
      <c r="AS29" s="529"/>
      <c r="AT29" s="529"/>
      <c r="AU29" s="511"/>
      <c r="AV29" s="511"/>
      <c r="AW29" s="4"/>
      <c r="AX29" s="4"/>
      <c r="AY29" s="4"/>
      <c r="AZ29" s="4"/>
      <c r="BA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row>
    <row r="30" spans="1:119" s="105" customFormat="1" ht="139.19999999999999">
      <c r="A30" s="142" t="s">
        <v>171</v>
      </c>
      <c r="B30" s="32" t="s">
        <v>109</v>
      </c>
      <c r="C30" s="33" t="s">
        <v>270</v>
      </c>
      <c r="D30" s="32" t="s">
        <v>121</v>
      </c>
      <c r="E30" s="142" t="s">
        <v>175</v>
      </c>
      <c r="F30" s="143">
        <v>2024130010112</v>
      </c>
      <c r="G30" s="133" t="s">
        <v>186</v>
      </c>
      <c r="H30" s="32" t="s">
        <v>199</v>
      </c>
      <c r="I30" s="39" t="s">
        <v>325</v>
      </c>
      <c r="J30" s="166">
        <v>83</v>
      </c>
      <c r="K30" s="110">
        <v>0.25</v>
      </c>
      <c r="L30" s="36" t="s">
        <v>407</v>
      </c>
      <c r="M30" s="35"/>
      <c r="N30" s="36" t="s">
        <v>550</v>
      </c>
      <c r="O30" s="36">
        <v>368</v>
      </c>
      <c r="P30" s="211">
        <v>300</v>
      </c>
      <c r="Q30" s="35"/>
      <c r="R30" s="316">
        <f t="shared" si="1"/>
        <v>0</v>
      </c>
      <c r="S30" s="186">
        <v>45660</v>
      </c>
      <c r="T30" s="186">
        <v>46022</v>
      </c>
      <c r="U30" s="187">
        <f t="shared" si="0"/>
        <v>362</v>
      </c>
      <c r="V30" s="35" t="s">
        <v>264</v>
      </c>
      <c r="W30" s="36" t="s">
        <v>267</v>
      </c>
      <c r="X30" s="36" t="s">
        <v>271</v>
      </c>
      <c r="Y30" s="36" t="s">
        <v>290</v>
      </c>
      <c r="Z30" s="36" t="s">
        <v>291</v>
      </c>
      <c r="AA30" s="37" t="s">
        <v>266</v>
      </c>
      <c r="AB30" s="36" t="s">
        <v>632</v>
      </c>
      <c r="AC30" s="189">
        <v>180000000</v>
      </c>
      <c r="AD30" s="35" t="s">
        <v>44</v>
      </c>
      <c r="AE30" s="35" t="s">
        <v>41</v>
      </c>
      <c r="AF30" s="35"/>
      <c r="AG30" s="35"/>
      <c r="AH30" s="503"/>
      <c r="AI30" s="503"/>
      <c r="AJ30" s="102"/>
      <c r="AK30" s="35"/>
      <c r="AL30" s="35"/>
      <c r="AM30" s="506"/>
      <c r="AN30" s="36" t="s">
        <v>175</v>
      </c>
      <c r="AO30" s="276" t="s">
        <v>658</v>
      </c>
      <c r="AP30" s="529"/>
      <c r="AQ30" s="529"/>
      <c r="AR30" s="532"/>
      <c r="AS30" s="529"/>
      <c r="AT30" s="529"/>
      <c r="AU30" s="511"/>
      <c r="AV30" s="511"/>
      <c r="AW30" s="4"/>
      <c r="AX30" s="4"/>
      <c r="AY30" s="4"/>
      <c r="AZ30" s="4"/>
      <c r="BA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row>
    <row r="31" spans="1:119" s="105" customFormat="1" ht="191.4">
      <c r="A31" s="142" t="s">
        <v>171</v>
      </c>
      <c r="B31" s="32" t="s">
        <v>109</v>
      </c>
      <c r="C31" s="33" t="s">
        <v>270</v>
      </c>
      <c r="D31" s="32" t="s">
        <v>121</v>
      </c>
      <c r="E31" s="142" t="s">
        <v>175</v>
      </c>
      <c r="F31" s="143">
        <v>2024130010112</v>
      </c>
      <c r="G31" s="133" t="s">
        <v>186</v>
      </c>
      <c r="H31" s="32" t="s">
        <v>199</v>
      </c>
      <c r="I31" s="39" t="s">
        <v>325</v>
      </c>
      <c r="J31" s="166">
        <v>368</v>
      </c>
      <c r="K31" s="110">
        <v>0.25</v>
      </c>
      <c r="L31" s="36" t="s">
        <v>407</v>
      </c>
      <c r="M31" s="35"/>
      <c r="N31" s="36" t="s">
        <v>550</v>
      </c>
      <c r="O31" s="36">
        <v>368</v>
      </c>
      <c r="P31" s="211">
        <v>300</v>
      </c>
      <c r="Q31" s="35">
        <v>83</v>
      </c>
      <c r="R31" s="316">
        <f t="shared" si="1"/>
        <v>0.27666666666666667</v>
      </c>
      <c r="S31" s="186">
        <v>45660</v>
      </c>
      <c r="T31" s="186">
        <v>46022</v>
      </c>
      <c r="U31" s="187">
        <f t="shared" si="0"/>
        <v>362</v>
      </c>
      <c r="V31" s="35" t="s">
        <v>264</v>
      </c>
      <c r="W31" s="36" t="s">
        <v>267</v>
      </c>
      <c r="X31" s="36" t="s">
        <v>271</v>
      </c>
      <c r="Y31" s="36" t="s">
        <v>290</v>
      </c>
      <c r="Z31" s="36" t="s">
        <v>291</v>
      </c>
      <c r="AA31" s="37" t="s">
        <v>266</v>
      </c>
      <c r="AB31" s="36" t="s">
        <v>633</v>
      </c>
      <c r="AC31" s="189">
        <v>1590000000</v>
      </c>
      <c r="AD31" s="35" t="s">
        <v>42</v>
      </c>
      <c r="AE31" s="36" t="s">
        <v>594</v>
      </c>
      <c r="AF31" s="35"/>
      <c r="AG31" s="35"/>
      <c r="AH31" s="503"/>
      <c r="AI31" s="503"/>
      <c r="AJ31" s="35"/>
      <c r="AK31" s="35"/>
      <c r="AL31" s="35"/>
      <c r="AM31" s="506"/>
      <c r="AN31" s="36" t="s">
        <v>175</v>
      </c>
      <c r="AO31" s="276" t="s">
        <v>659</v>
      </c>
      <c r="AP31" s="529"/>
      <c r="AQ31" s="529"/>
      <c r="AR31" s="532"/>
      <c r="AS31" s="529"/>
      <c r="AT31" s="529"/>
      <c r="AU31" s="511"/>
      <c r="AV31" s="511"/>
      <c r="AW31" s="4"/>
      <c r="AX31" s="4"/>
      <c r="AY31" s="4"/>
      <c r="AZ31" s="4"/>
      <c r="BA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row>
    <row r="32" spans="1:119" s="105" customFormat="1" ht="289.8">
      <c r="A32" s="142" t="s">
        <v>171</v>
      </c>
      <c r="B32" s="32" t="s">
        <v>109</v>
      </c>
      <c r="C32" s="33" t="s">
        <v>270</v>
      </c>
      <c r="D32" s="32" t="s">
        <v>121</v>
      </c>
      <c r="E32" s="142" t="s">
        <v>175</v>
      </c>
      <c r="F32" s="143">
        <v>2024130010112</v>
      </c>
      <c r="G32" s="133" t="s">
        <v>186</v>
      </c>
      <c r="H32" s="32" t="s">
        <v>199</v>
      </c>
      <c r="I32" s="39" t="s">
        <v>325</v>
      </c>
      <c r="J32" s="166">
        <v>83</v>
      </c>
      <c r="K32" s="110">
        <v>0.25</v>
      </c>
      <c r="L32" s="36" t="s">
        <v>407</v>
      </c>
      <c r="M32" s="35"/>
      <c r="N32" s="36" t="s">
        <v>550</v>
      </c>
      <c r="O32" s="35">
        <v>368</v>
      </c>
      <c r="P32" s="211">
        <v>300</v>
      </c>
      <c r="Q32" s="35">
        <v>83</v>
      </c>
      <c r="R32" s="316">
        <f t="shared" si="1"/>
        <v>0.27666666666666667</v>
      </c>
      <c r="S32" s="186">
        <v>45660</v>
      </c>
      <c r="T32" s="186">
        <v>46022</v>
      </c>
      <c r="U32" s="187">
        <f t="shared" si="0"/>
        <v>362</v>
      </c>
      <c r="V32" s="35" t="s">
        <v>264</v>
      </c>
      <c r="W32" s="36" t="s">
        <v>267</v>
      </c>
      <c r="X32" s="36" t="s">
        <v>271</v>
      </c>
      <c r="Y32" s="36" t="s">
        <v>290</v>
      </c>
      <c r="Z32" s="36" t="s">
        <v>291</v>
      </c>
      <c r="AA32" s="37" t="s">
        <v>266</v>
      </c>
      <c r="AB32" s="36" t="s">
        <v>634</v>
      </c>
      <c r="AC32" s="189">
        <v>340000000</v>
      </c>
      <c r="AD32" s="35" t="s">
        <v>44</v>
      </c>
      <c r="AE32" s="35" t="s">
        <v>41</v>
      </c>
      <c r="AF32" s="35"/>
      <c r="AG32" s="35"/>
      <c r="AH32" s="503"/>
      <c r="AI32" s="503"/>
      <c r="AJ32" s="102">
        <v>34212738</v>
      </c>
      <c r="AK32" s="35"/>
      <c r="AL32" s="35"/>
      <c r="AM32" s="506"/>
      <c r="AN32" s="36" t="s">
        <v>175</v>
      </c>
      <c r="AO32" s="32" t="s">
        <v>657</v>
      </c>
      <c r="AP32" s="529"/>
      <c r="AQ32" s="529"/>
      <c r="AR32" s="532"/>
      <c r="AS32" s="529"/>
      <c r="AT32" s="529"/>
      <c r="AU32" s="511"/>
      <c r="AV32" s="511"/>
      <c r="AW32" s="4"/>
      <c r="AX32" s="4"/>
      <c r="AY32" s="4"/>
      <c r="AZ32" s="4"/>
      <c r="BA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row>
    <row r="33" spans="1:119" s="105" customFormat="1" ht="139.19999999999999">
      <c r="A33" s="142" t="s">
        <v>171</v>
      </c>
      <c r="B33" s="32" t="s">
        <v>109</v>
      </c>
      <c r="C33" s="33" t="s">
        <v>270</v>
      </c>
      <c r="D33" s="32" t="s">
        <v>121</v>
      </c>
      <c r="E33" s="142" t="s">
        <v>175</v>
      </c>
      <c r="F33" s="143">
        <v>2024130010112</v>
      </c>
      <c r="G33" s="133" t="s">
        <v>186</v>
      </c>
      <c r="H33" s="32" t="s">
        <v>199</v>
      </c>
      <c r="I33" s="39" t="s">
        <v>325</v>
      </c>
      <c r="J33" s="166">
        <v>83</v>
      </c>
      <c r="K33" s="110">
        <v>0.25</v>
      </c>
      <c r="L33" s="36" t="s">
        <v>407</v>
      </c>
      <c r="M33" s="35"/>
      <c r="N33" s="36" t="s">
        <v>550</v>
      </c>
      <c r="O33" s="35">
        <v>368</v>
      </c>
      <c r="P33" s="211">
        <v>300</v>
      </c>
      <c r="Q33" s="35">
        <v>83</v>
      </c>
      <c r="R33" s="316">
        <f t="shared" si="1"/>
        <v>0.27666666666666667</v>
      </c>
      <c r="S33" s="186">
        <v>45660</v>
      </c>
      <c r="T33" s="186">
        <v>46022</v>
      </c>
      <c r="U33" s="187">
        <f t="shared" si="0"/>
        <v>362</v>
      </c>
      <c r="V33" s="35" t="s">
        <v>264</v>
      </c>
      <c r="W33" s="36" t="s">
        <v>267</v>
      </c>
      <c r="X33" s="36" t="s">
        <v>271</v>
      </c>
      <c r="Y33" s="36" t="s">
        <v>290</v>
      </c>
      <c r="Z33" s="36" t="s">
        <v>291</v>
      </c>
      <c r="AA33" s="37" t="s">
        <v>266</v>
      </c>
      <c r="AB33" s="36" t="s">
        <v>510</v>
      </c>
      <c r="AC33" s="189">
        <v>150000000</v>
      </c>
      <c r="AD33" s="35" t="s">
        <v>44</v>
      </c>
      <c r="AE33" s="35" t="s">
        <v>41</v>
      </c>
      <c r="AF33" s="35"/>
      <c r="AG33" s="35"/>
      <c r="AH33" s="503"/>
      <c r="AI33" s="503"/>
      <c r="AJ33" s="35"/>
      <c r="AK33" s="35"/>
      <c r="AL33" s="35"/>
      <c r="AM33" s="506"/>
      <c r="AN33" s="36" t="s">
        <v>175</v>
      </c>
      <c r="AO33" s="276" t="s">
        <v>658</v>
      </c>
      <c r="AP33" s="529"/>
      <c r="AQ33" s="529"/>
      <c r="AR33" s="532"/>
      <c r="AS33" s="529"/>
      <c r="AT33" s="529"/>
      <c r="AU33" s="511"/>
      <c r="AV33" s="511"/>
      <c r="AW33" s="4"/>
      <c r="AX33" s="4"/>
      <c r="AY33" s="4"/>
      <c r="AZ33" s="4"/>
      <c r="BA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row>
    <row r="34" spans="1:119" s="105" customFormat="1" ht="191.4">
      <c r="A34" s="32" t="s">
        <v>171</v>
      </c>
      <c r="B34" s="32" t="s">
        <v>109</v>
      </c>
      <c r="C34" s="33" t="s">
        <v>270</v>
      </c>
      <c r="D34" s="32" t="s">
        <v>121</v>
      </c>
      <c r="E34" s="32" t="s">
        <v>175</v>
      </c>
      <c r="F34" s="34">
        <v>2024130010112</v>
      </c>
      <c r="G34" s="133" t="s">
        <v>186</v>
      </c>
      <c r="H34" s="32" t="s">
        <v>199</v>
      </c>
      <c r="I34" s="39" t="s">
        <v>325</v>
      </c>
      <c r="J34" s="166">
        <v>83</v>
      </c>
      <c r="K34" s="110">
        <v>0.25</v>
      </c>
      <c r="L34" s="36" t="s">
        <v>407</v>
      </c>
      <c r="M34" s="35"/>
      <c r="N34" s="36" t="s">
        <v>550</v>
      </c>
      <c r="O34" s="35">
        <v>368</v>
      </c>
      <c r="P34" s="211">
        <v>300</v>
      </c>
      <c r="Q34" s="35">
        <v>83</v>
      </c>
      <c r="R34" s="316">
        <f t="shared" si="1"/>
        <v>0.27666666666666667</v>
      </c>
      <c r="S34" s="186">
        <v>45660</v>
      </c>
      <c r="T34" s="186">
        <v>46022</v>
      </c>
      <c r="U34" s="187">
        <f t="shared" si="0"/>
        <v>362</v>
      </c>
      <c r="V34" s="35" t="s">
        <v>264</v>
      </c>
      <c r="W34" s="36" t="s">
        <v>267</v>
      </c>
      <c r="X34" s="36" t="s">
        <v>271</v>
      </c>
      <c r="Y34" s="36" t="s">
        <v>290</v>
      </c>
      <c r="Z34" s="36" t="s">
        <v>291</v>
      </c>
      <c r="AA34" s="37" t="s">
        <v>266</v>
      </c>
      <c r="AB34" s="36" t="s">
        <v>635</v>
      </c>
      <c r="AC34" s="188">
        <v>564279515</v>
      </c>
      <c r="AD34" s="35" t="s">
        <v>42</v>
      </c>
      <c r="AE34" s="35" t="s">
        <v>41</v>
      </c>
      <c r="AF34" s="35"/>
      <c r="AG34" s="35"/>
      <c r="AH34" s="503"/>
      <c r="AI34" s="503"/>
      <c r="AJ34" s="35"/>
      <c r="AK34" s="35"/>
      <c r="AL34" s="35"/>
      <c r="AM34" s="506"/>
      <c r="AN34" s="36" t="s">
        <v>175</v>
      </c>
      <c r="AO34" s="276" t="s">
        <v>659</v>
      </c>
      <c r="AP34" s="529"/>
      <c r="AQ34" s="529"/>
      <c r="AR34" s="532"/>
      <c r="AS34" s="529"/>
      <c r="AT34" s="529"/>
      <c r="AU34" s="511"/>
      <c r="AV34" s="511"/>
      <c r="AW34" s="4"/>
      <c r="AX34" s="4"/>
      <c r="AY34" s="4"/>
      <c r="AZ34" s="4"/>
      <c r="BA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row>
    <row r="35" spans="1:119" s="105" customFormat="1" ht="289.8">
      <c r="A35" s="32" t="s">
        <v>171</v>
      </c>
      <c r="B35" s="32" t="s">
        <v>109</v>
      </c>
      <c r="C35" s="33" t="s">
        <v>270</v>
      </c>
      <c r="D35" s="32" t="s">
        <v>121</v>
      </c>
      <c r="E35" s="32" t="s">
        <v>175</v>
      </c>
      <c r="F35" s="34">
        <v>2024130010112</v>
      </c>
      <c r="G35" s="133" t="s">
        <v>186</v>
      </c>
      <c r="H35" s="32" t="s">
        <v>199</v>
      </c>
      <c r="I35" s="39" t="s">
        <v>325</v>
      </c>
      <c r="J35" s="166">
        <v>83</v>
      </c>
      <c r="K35" s="110">
        <v>0.25</v>
      </c>
      <c r="L35" s="36" t="s">
        <v>407</v>
      </c>
      <c r="M35" s="35"/>
      <c r="N35" s="36" t="s">
        <v>550</v>
      </c>
      <c r="O35" s="35">
        <v>368</v>
      </c>
      <c r="P35" s="211">
        <v>300</v>
      </c>
      <c r="Q35" s="35">
        <v>83</v>
      </c>
      <c r="R35" s="316">
        <f t="shared" si="1"/>
        <v>0.27666666666666667</v>
      </c>
      <c r="S35" s="186">
        <v>45660</v>
      </c>
      <c r="T35" s="186">
        <v>46022</v>
      </c>
      <c r="U35" s="187">
        <f t="shared" si="0"/>
        <v>362</v>
      </c>
      <c r="V35" s="35" t="s">
        <v>264</v>
      </c>
      <c r="W35" s="36" t="s">
        <v>267</v>
      </c>
      <c r="X35" s="36" t="s">
        <v>271</v>
      </c>
      <c r="Y35" s="36" t="s">
        <v>290</v>
      </c>
      <c r="Z35" s="36" t="s">
        <v>291</v>
      </c>
      <c r="AA35" s="37" t="s">
        <v>266</v>
      </c>
      <c r="AB35" s="36" t="s">
        <v>636</v>
      </c>
      <c r="AC35" s="188">
        <v>120000000</v>
      </c>
      <c r="AD35" s="35" t="s">
        <v>44</v>
      </c>
      <c r="AE35" s="35" t="s">
        <v>41</v>
      </c>
      <c r="AF35" s="35"/>
      <c r="AG35" s="35"/>
      <c r="AH35" s="503"/>
      <c r="AI35" s="503"/>
      <c r="AJ35" s="35"/>
      <c r="AK35" s="35"/>
      <c r="AL35" s="35"/>
      <c r="AM35" s="506"/>
      <c r="AN35" s="36" t="s">
        <v>175</v>
      </c>
      <c r="AO35" s="32" t="s">
        <v>657</v>
      </c>
      <c r="AP35" s="529"/>
      <c r="AQ35" s="529"/>
      <c r="AR35" s="532"/>
      <c r="AS35" s="529"/>
      <c r="AT35" s="529"/>
      <c r="AU35" s="511"/>
      <c r="AV35" s="511"/>
      <c r="AW35" s="4"/>
      <c r="AX35" s="4"/>
      <c r="AY35" s="4"/>
      <c r="AZ35" s="4"/>
      <c r="BA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row>
    <row r="36" spans="1:119" s="105" customFormat="1" ht="139.19999999999999">
      <c r="A36" s="32" t="s">
        <v>171</v>
      </c>
      <c r="B36" s="32" t="s">
        <v>109</v>
      </c>
      <c r="C36" s="33" t="s">
        <v>270</v>
      </c>
      <c r="D36" s="32" t="s">
        <v>121</v>
      </c>
      <c r="E36" s="32" t="s">
        <v>175</v>
      </c>
      <c r="F36" s="34">
        <v>2024130010112</v>
      </c>
      <c r="G36" s="133" t="s">
        <v>186</v>
      </c>
      <c r="H36" s="32" t="s">
        <v>199</v>
      </c>
      <c r="I36" s="39" t="s">
        <v>325</v>
      </c>
      <c r="J36" s="166">
        <v>83</v>
      </c>
      <c r="K36" s="110">
        <v>0.25</v>
      </c>
      <c r="L36" s="36" t="s">
        <v>407</v>
      </c>
      <c r="M36" s="35"/>
      <c r="N36" s="36" t="s">
        <v>550</v>
      </c>
      <c r="O36" s="36">
        <v>368</v>
      </c>
      <c r="P36" s="211">
        <v>300</v>
      </c>
      <c r="Q36" s="35">
        <v>83</v>
      </c>
      <c r="R36" s="316">
        <f t="shared" si="1"/>
        <v>0.27666666666666667</v>
      </c>
      <c r="S36" s="186">
        <v>45660</v>
      </c>
      <c r="T36" s="186">
        <v>46022</v>
      </c>
      <c r="U36" s="187">
        <f t="shared" si="0"/>
        <v>362</v>
      </c>
      <c r="V36" s="35" t="s">
        <v>264</v>
      </c>
      <c r="W36" s="36" t="s">
        <v>267</v>
      </c>
      <c r="X36" s="36" t="s">
        <v>271</v>
      </c>
      <c r="Y36" s="36" t="s">
        <v>290</v>
      </c>
      <c r="Z36" s="36" t="s">
        <v>291</v>
      </c>
      <c r="AA36" s="37" t="s">
        <v>266</v>
      </c>
      <c r="AB36" s="36" t="s">
        <v>637</v>
      </c>
      <c r="AC36" s="188">
        <v>10000000</v>
      </c>
      <c r="AD36" s="35" t="s">
        <v>48</v>
      </c>
      <c r="AE36" s="35" t="s">
        <v>41</v>
      </c>
      <c r="AF36" s="35"/>
      <c r="AG36" s="35"/>
      <c r="AH36" s="503"/>
      <c r="AI36" s="503"/>
      <c r="AJ36" s="35"/>
      <c r="AK36" s="35"/>
      <c r="AL36" s="35"/>
      <c r="AM36" s="506"/>
      <c r="AN36" s="36" t="s">
        <v>175</v>
      </c>
      <c r="AO36" s="276" t="s">
        <v>658</v>
      </c>
      <c r="AP36" s="529"/>
      <c r="AQ36" s="529"/>
      <c r="AR36" s="532"/>
      <c r="AS36" s="529"/>
      <c r="AT36" s="529"/>
      <c r="AU36" s="511"/>
      <c r="AV36" s="511"/>
      <c r="AW36" s="4"/>
      <c r="AX36" s="4"/>
      <c r="AY36" s="4"/>
      <c r="AZ36" s="4"/>
      <c r="BA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row>
    <row r="37" spans="1:119" s="105" customFormat="1" ht="191.4">
      <c r="A37" s="32" t="s">
        <v>171</v>
      </c>
      <c r="B37" s="32" t="s">
        <v>109</v>
      </c>
      <c r="C37" s="33" t="s">
        <v>270</v>
      </c>
      <c r="D37" s="32" t="s">
        <v>121</v>
      </c>
      <c r="E37" s="32" t="s">
        <v>175</v>
      </c>
      <c r="F37" s="34">
        <v>2024130010112</v>
      </c>
      <c r="G37" s="133" t="s">
        <v>186</v>
      </c>
      <c r="H37" s="32" t="s">
        <v>199</v>
      </c>
      <c r="I37" s="39" t="s">
        <v>325</v>
      </c>
      <c r="J37" s="166">
        <v>83</v>
      </c>
      <c r="K37" s="110">
        <v>0.25</v>
      </c>
      <c r="L37" s="36" t="s">
        <v>407</v>
      </c>
      <c r="M37" s="35"/>
      <c r="N37" s="36" t="s">
        <v>550</v>
      </c>
      <c r="O37" s="35">
        <v>368</v>
      </c>
      <c r="P37" s="211">
        <v>300</v>
      </c>
      <c r="Q37" s="35">
        <v>83</v>
      </c>
      <c r="R37" s="316">
        <f t="shared" si="1"/>
        <v>0.27666666666666667</v>
      </c>
      <c r="S37" s="186">
        <v>45660</v>
      </c>
      <c r="T37" s="186">
        <v>46022</v>
      </c>
      <c r="U37" s="187">
        <f t="shared" si="0"/>
        <v>362</v>
      </c>
      <c r="V37" s="35" t="s">
        <v>264</v>
      </c>
      <c r="W37" s="36" t="s">
        <v>267</v>
      </c>
      <c r="X37" s="36" t="s">
        <v>271</v>
      </c>
      <c r="Y37" s="36" t="s">
        <v>290</v>
      </c>
      <c r="Z37" s="36" t="s">
        <v>291</v>
      </c>
      <c r="AA37" s="37" t="s">
        <v>266</v>
      </c>
      <c r="AB37" s="36" t="s">
        <v>638</v>
      </c>
      <c r="AC37" s="188">
        <v>50000000</v>
      </c>
      <c r="AD37" s="35" t="s">
        <v>48</v>
      </c>
      <c r="AE37" s="35" t="s">
        <v>41</v>
      </c>
      <c r="AF37" s="35"/>
      <c r="AG37" s="35"/>
      <c r="AH37" s="503"/>
      <c r="AI37" s="503"/>
      <c r="AJ37" s="35"/>
      <c r="AK37" s="35"/>
      <c r="AL37" s="35"/>
      <c r="AM37" s="506"/>
      <c r="AN37" s="36" t="s">
        <v>175</v>
      </c>
      <c r="AO37" s="276" t="s">
        <v>659</v>
      </c>
      <c r="AP37" s="529"/>
      <c r="AQ37" s="529"/>
      <c r="AR37" s="532"/>
      <c r="AS37" s="529"/>
      <c r="AT37" s="529"/>
      <c r="AU37" s="511"/>
      <c r="AV37" s="511"/>
      <c r="AW37" s="4"/>
      <c r="AX37" s="4"/>
      <c r="AY37" s="4"/>
      <c r="AZ37" s="4"/>
      <c r="BA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row>
    <row r="38" spans="1:119" s="105" customFormat="1" ht="289.8">
      <c r="A38" s="32" t="s">
        <v>171</v>
      </c>
      <c r="B38" s="32" t="s">
        <v>109</v>
      </c>
      <c r="C38" s="33" t="s">
        <v>270</v>
      </c>
      <c r="D38" s="32" t="s">
        <v>121</v>
      </c>
      <c r="E38" s="32" t="s">
        <v>175</v>
      </c>
      <c r="F38" s="34">
        <v>2024130010112</v>
      </c>
      <c r="G38" s="133" t="s">
        <v>186</v>
      </c>
      <c r="H38" s="32" t="s">
        <v>199</v>
      </c>
      <c r="I38" s="39" t="s">
        <v>325</v>
      </c>
      <c r="J38" s="166">
        <v>83</v>
      </c>
      <c r="K38" s="110">
        <v>0.25</v>
      </c>
      <c r="L38" s="36" t="s">
        <v>407</v>
      </c>
      <c r="M38" s="35"/>
      <c r="N38" s="36" t="s">
        <v>550</v>
      </c>
      <c r="O38" s="36">
        <v>368</v>
      </c>
      <c r="P38" s="211">
        <v>300</v>
      </c>
      <c r="Q38" s="35">
        <v>83</v>
      </c>
      <c r="R38" s="316">
        <f t="shared" si="1"/>
        <v>0.27666666666666667</v>
      </c>
      <c r="S38" s="186">
        <v>45660</v>
      </c>
      <c r="T38" s="186">
        <v>46022</v>
      </c>
      <c r="U38" s="187">
        <f t="shared" si="0"/>
        <v>362</v>
      </c>
      <c r="V38" s="35" t="s">
        <v>264</v>
      </c>
      <c r="W38" s="36" t="s">
        <v>267</v>
      </c>
      <c r="X38" s="36" t="s">
        <v>271</v>
      </c>
      <c r="Y38" s="36" t="s">
        <v>290</v>
      </c>
      <c r="Z38" s="36" t="s">
        <v>291</v>
      </c>
      <c r="AA38" s="37" t="s">
        <v>266</v>
      </c>
      <c r="AB38" s="36" t="s">
        <v>639</v>
      </c>
      <c r="AC38" s="188">
        <v>20000000</v>
      </c>
      <c r="AD38" s="35" t="s">
        <v>48</v>
      </c>
      <c r="AE38" s="35" t="s">
        <v>41</v>
      </c>
      <c r="AF38" s="35"/>
      <c r="AG38" s="35"/>
      <c r="AH38" s="504"/>
      <c r="AI38" s="504"/>
      <c r="AJ38" s="102">
        <v>46382752</v>
      </c>
      <c r="AK38" s="35"/>
      <c r="AL38" s="35"/>
      <c r="AM38" s="507"/>
      <c r="AN38" s="36" t="s">
        <v>175</v>
      </c>
      <c r="AO38" s="32" t="s">
        <v>657</v>
      </c>
      <c r="AP38" s="530"/>
      <c r="AQ38" s="530"/>
      <c r="AR38" s="533"/>
      <c r="AS38" s="530"/>
      <c r="AT38" s="530"/>
      <c r="AU38" s="512"/>
      <c r="AV38" s="512"/>
      <c r="AW38" s="4"/>
      <c r="AX38" s="4"/>
      <c r="AY38" s="4"/>
      <c r="AZ38" s="4"/>
      <c r="BA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row>
    <row r="39" spans="1:119" s="105" customFormat="1" ht="57" customHeight="1">
      <c r="A39" s="32"/>
      <c r="B39" s="32"/>
      <c r="C39" s="33"/>
      <c r="D39" s="32"/>
      <c r="E39" s="513" t="s">
        <v>688</v>
      </c>
      <c r="F39" s="514"/>
      <c r="G39" s="514"/>
      <c r="H39" s="514"/>
      <c r="I39" s="514"/>
      <c r="J39" s="514"/>
      <c r="K39" s="514"/>
      <c r="L39" s="514"/>
      <c r="M39" s="514"/>
      <c r="N39" s="514"/>
      <c r="O39" s="514"/>
      <c r="P39" s="514"/>
      <c r="Q39" s="515"/>
      <c r="R39" s="317">
        <f>AVERAGE(R9:R38)</f>
        <v>0.24564840182648393</v>
      </c>
      <c r="S39" s="186"/>
      <c r="T39" s="186"/>
      <c r="U39" s="187"/>
      <c r="V39" s="35"/>
      <c r="W39" s="36"/>
      <c r="X39" s="36"/>
      <c r="Y39" s="36"/>
      <c r="Z39" s="36"/>
      <c r="AA39" s="37"/>
      <c r="AB39" s="36"/>
      <c r="AC39" s="188"/>
      <c r="AD39" s="35"/>
      <c r="AE39" s="35"/>
      <c r="AF39" s="35"/>
      <c r="AG39" s="35"/>
      <c r="AH39" s="282"/>
      <c r="AI39" s="282"/>
      <c r="AJ39" s="102"/>
      <c r="AK39" s="35"/>
      <c r="AL39" s="35"/>
      <c r="AM39" s="278"/>
      <c r="AN39" s="36"/>
      <c r="AO39" s="318" t="s">
        <v>689</v>
      </c>
      <c r="AP39" s="302">
        <f>SUM(AP9)</f>
        <v>33466088720.580002</v>
      </c>
      <c r="AQ39" s="302">
        <f>SUM(AQ9)</f>
        <v>11452568124.76</v>
      </c>
      <c r="AR39" s="312">
        <f>SUM(AR9)</f>
        <v>0.3422</v>
      </c>
      <c r="AS39" s="302">
        <f>SUM(AS9)</f>
        <v>6188370665</v>
      </c>
      <c r="AT39" s="302">
        <f>SUM(AT9)</f>
        <v>6188370665</v>
      </c>
      <c r="AU39" s="312">
        <f>+AS39/AP39</f>
        <v>0.18491466740164517</v>
      </c>
      <c r="AV39" s="312">
        <f>+AT39/AP39</f>
        <v>0.18491466740164517</v>
      </c>
      <c r="AW39" s="4"/>
      <c r="AX39" s="4"/>
      <c r="AY39" s="4"/>
      <c r="AZ39" s="4"/>
      <c r="BA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119" s="151" customFormat="1" ht="69">
      <c r="A40" s="144" t="s">
        <v>172</v>
      </c>
      <c r="B40" s="40" t="s">
        <v>110</v>
      </c>
      <c r="C40" s="41" t="s">
        <v>272</v>
      </c>
      <c r="D40" s="40" t="s">
        <v>248</v>
      </c>
      <c r="E40" s="144" t="s">
        <v>176</v>
      </c>
      <c r="F40" s="177">
        <v>2024130010133</v>
      </c>
      <c r="G40" s="178" t="s">
        <v>187</v>
      </c>
      <c r="H40" s="40" t="s">
        <v>197</v>
      </c>
      <c r="I40" s="357" t="s">
        <v>151</v>
      </c>
      <c r="J40" s="167">
        <v>5</v>
      </c>
      <c r="K40" s="110">
        <v>0.5</v>
      </c>
      <c r="L40" s="40" t="s">
        <v>205</v>
      </c>
      <c r="M40" s="43"/>
      <c r="N40" s="44" t="s">
        <v>589</v>
      </c>
      <c r="O40" s="44">
        <v>17</v>
      </c>
      <c r="P40" s="211">
        <v>1</v>
      </c>
      <c r="Q40" s="48">
        <v>5</v>
      </c>
      <c r="R40" s="319">
        <v>1</v>
      </c>
      <c r="S40" s="186">
        <v>45660</v>
      </c>
      <c r="T40" s="186">
        <v>46022</v>
      </c>
      <c r="U40" s="187">
        <f t="shared" si="0"/>
        <v>362</v>
      </c>
      <c r="V40" s="43">
        <v>385</v>
      </c>
      <c r="W40" s="44" t="s">
        <v>267</v>
      </c>
      <c r="X40" s="43" t="s">
        <v>274</v>
      </c>
      <c r="Y40" s="44" t="s">
        <v>292</v>
      </c>
      <c r="Z40" s="44" t="s">
        <v>293</v>
      </c>
      <c r="AA40" s="42" t="s">
        <v>266</v>
      </c>
      <c r="AB40" s="40" t="s">
        <v>511</v>
      </c>
      <c r="AC40" s="118">
        <v>75000000</v>
      </c>
      <c r="AD40" s="43" t="s">
        <v>47</v>
      </c>
      <c r="AE40" s="43" t="s">
        <v>41</v>
      </c>
      <c r="AF40" s="43"/>
      <c r="AG40" s="43"/>
      <c r="AH40" s="516">
        <v>2749532737</v>
      </c>
      <c r="AI40" s="516"/>
      <c r="AJ40" s="103"/>
      <c r="AK40" s="43"/>
      <c r="AL40" s="43"/>
      <c r="AM40" s="519" t="s">
        <v>561</v>
      </c>
      <c r="AN40" s="44" t="s">
        <v>176</v>
      </c>
      <c r="AO40" s="44" t="s">
        <v>665</v>
      </c>
      <c r="AP40" s="522">
        <v>2760697332.29</v>
      </c>
      <c r="AQ40" s="522">
        <v>1185418000</v>
      </c>
      <c r="AR40" s="525">
        <v>0.4294</v>
      </c>
      <c r="AS40" s="522">
        <v>0</v>
      </c>
      <c r="AT40" s="522">
        <v>0</v>
      </c>
      <c r="AU40" s="534">
        <v>0</v>
      </c>
      <c r="AV40" s="534">
        <v>0</v>
      </c>
      <c r="AW40" s="4"/>
      <c r="AX40" s="4"/>
      <c r="AY40" s="4"/>
      <c r="AZ40" s="4"/>
      <c r="BA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row>
    <row r="41" spans="1:119" s="151" customFormat="1" ht="69">
      <c r="A41" s="144" t="s">
        <v>172</v>
      </c>
      <c r="B41" s="40" t="s">
        <v>110</v>
      </c>
      <c r="C41" s="41" t="s">
        <v>272</v>
      </c>
      <c r="D41" s="40" t="s">
        <v>248</v>
      </c>
      <c r="E41" s="144" t="s">
        <v>176</v>
      </c>
      <c r="F41" s="177">
        <v>2024130010133</v>
      </c>
      <c r="G41" s="178" t="s">
        <v>187</v>
      </c>
      <c r="H41" s="40" t="s">
        <v>197</v>
      </c>
      <c r="I41" s="357" t="s">
        <v>151</v>
      </c>
      <c r="J41" s="167">
        <v>5</v>
      </c>
      <c r="K41" s="110">
        <v>0.5</v>
      </c>
      <c r="L41" s="40" t="s">
        <v>205</v>
      </c>
      <c r="M41" s="43"/>
      <c r="N41" s="44" t="s">
        <v>589</v>
      </c>
      <c r="O41" s="44">
        <v>17</v>
      </c>
      <c r="P41" s="211">
        <v>1</v>
      </c>
      <c r="Q41" s="48">
        <v>5</v>
      </c>
      <c r="R41" s="319">
        <v>1</v>
      </c>
      <c r="S41" s="186">
        <v>45660</v>
      </c>
      <c r="T41" s="186">
        <v>46022</v>
      </c>
      <c r="U41" s="187">
        <f t="shared" si="0"/>
        <v>362</v>
      </c>
      <c r="V41" s="43">
        <v>385</v>
      </c>
      <c r="W41" s="44" t="s">
        <v>267</v>
      </c>
      <c r="X41" s="43" t="s">
        <v>274</v>
      </c>
      <c r="Y41" s="44" t="s">
        <v>292</v>
      </c>
      <c r="Z41" s="44" t="s">
        <v>293</v>
      </c>
      <c r="AA41" s="42" t="s">
        <v>266</v>
      </c>
      <c r="AB41" s="40" t="s">
        <v>590</v>
      </c>
      <c r="AC41" s="118">
        <v>149532737</v>
      </c>
      <c r="AD41" s="44" t="s">
        <v>45</v>
      </c>
      <c r="AE41" s="43" t="s">
        <v>41</v>
      </c>
      <c r="AF41" s="43"/>
      <c r="AG41" s="43"/>
      <c r="AH41" s="517"/>
      <c r="AI41" s="517"/>
      <c r="AJ41" s="103">
        <v>5000000</v>
      </c>
      <c r="AK41" s="43"/>
      <c r="AL41" s="43"/>
      <c r="AM41" s="520"/>
      <c r="AN41" s="44" t="s">
        <v>176</v>
      </c>
      <c r="AO41" s="44" t="s">
        <v>665</v>
      </c>
      <c r="AP41" s="523"/>
      <c r="AQ41" s="523"/>
      <c r="AR41" s="526"/>
      <c r="AS41" s="523"/>
      <c r="AT41" s="523"/>
      <c r="AU41" s="523"/>
      <c r="AV41" s="523"/>
      <c r="AW41" s="4"/>
      <c r="AX41" s="4"/>
      <c r="AY41" s="4"/>
      <c r="AZ41" s="4"/>
      <c r="BA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row>
    <row r="42" spans="1:119" s="151" customFormat="1" ht="69">
      <c r="A42" s="144" t="s">
        <v>172</v>
      </c>
      <c r="B42" s="40" t="s">
        <v>110</v>
      </c>
      <c r="C42" s="41" t="s">
        <v>272</v>
      </c>
      <c r="D42" s="40" t="s">
        <v>248</v>
      </c>
      <c r="E42" s="144" t="s">
        <v>176</v>
      </c>
      <c r="F42" s="177">
        <v>2024130010133</v>
      </c>
      <c r="G42" s="178" t="s">
        <v>187</v>
      </c>
      <c r="H42" s="40" t="s">
        <v>197</v>
      </c>
      <c r="I42" s="357" t="s">
        <v>151</v>
      </c>
      <c r="J42" s="167">
        <v>5</v>
      </c>
      <c r="K42" s="110">
        <v>0.5</v>
      </c>
      <c r="L42" s="40" t="s">
        <v>193</v>
      </c>
      <c r="M42" s="43"/>
      <c r="N42" s="44" t="s">
        <v>711</v>
      </c>
      <c r="O42" s="44">
        <v>17</v>
      </c>
      <c r="P42" s="211">
        <v>385</v>
      </c>
      <c r="Q42" s="44">
        <v>5</v>
      </c>
      <c r="R42" s="320">
        <f>+Q42/P42</f>
        <v>1.2987012987012988E-2</v>
      </c>
      <c r="S42" s="186">
        <v>45660</v>
      </c>
      <c r="T42" s="186">
        <v>46022</v>
      </c>
      <c r="U42" s="187">
        <f t="shared" si="0"/>
        <v>362</v>
      </c>
      <c r="V42" s="43">
        <v>385</v>
      </c>
      <c r="W42" s="44" t="s">
        <v>267</v>
      </c>
      <c r="X42" s="43" t="s">
        <v>274</v>
      </c>
      <c r="Y42" s="44" t="s">
        <v>292</v>
      </c>
      <c r="Z42" s="44" t="s">
        <v>293</v>
      </c>
      <c r="AA42" s="42" t="s">
        <v>266</v>
      </c>
      <c r="AB42" s="40" t="s">
        <v>511</v>
      </c>
      <c r="AC42" s="118">
        <v>75000000</v>
      </c>
      <c r="AD42" s="43" t="s">
        <v>47</v>
      </c>
      <c r="AE42" s="43" t="s">
        <v>41</v>
      </c>
      <c r="AF42" s="43"/>
      <c r="AG42" s="43"/>
      <c r="AH42" s="517"/>
      <c r="AI42" s="517"/>
      <c r="AJ42" s="103">
        <v>50000000</v>
      </c>
      <c r="AK42" s="43"/>
      <c r="AL42" s="43"/>
      <c r="AM42" s="520"/>
      <c r="AN42" s="44" t="s">
        <v>176</v>
      </c>
      <c r="AO42" s="44" t="s">
        <v>665</v>
      </c>
      <c r="AP42" s="523"/>
      <c r="AQ42" s="523"/>
      <c r="AR42" s="526"/>
      <c r="AS42" s="523"/>
      <c r="AT42" s="523"/>
      <c r="AU42" s="523"/>
      <c r="AV42" s="523"/>
      <c r="AW42" s="4"/>
      <c r="AX42" s="4"/>
      <c r="AY42" s="4"/>
      <c r="AZ42" s="4"/>
      <c r="BA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row>
    <row r="43" spans="1:119" s="151" customFormat="1" ht="69">
      <c r="A43" s="40" t="s">
        <v>172</v>
      </c>
      <c r="B43" s="40" t="s">
        <v>110</v>
      </c>
      <c r="C43" s="41" t="s">
        <v>272</v>
      </c>
      <c r="D43" s="40" t="s">
        <v>248</v>
      </c>
      <c r="E43" s="40" t="s">
        <v>176</v>
      </c>
      <c r="F43" s="179">
        <v>2024130010133</v>
      </c>
      <c r="G43" s="178" t="s">
        <v>187</v>
      </c>
      <c r="H43" s="40" t="s">
        <v>197</v>
      </c>
      <c r="I43" s="357" t="s">
        <v>151</v>
      </c>
      <c r="J43" s="167">
        <v>5</v>
      </c>
      <c r="K43" s="110">
        <v>0.5</v>
      </c>
      <c r="L43" s="40" t="s">
        <v>193</v>
      </c>
      <c r="M43" s="43"/>
      <c r="N43" s="44" t="s">
        <v>711</v>
      </c>
      <c r="O43" s="44">
        <v>17</v>
      </c>
      <c r="P43" s="211">
        <v>385</v>
      </c>
      <c r="Q43" s="44">
        <v>5</v>
      </c>
      <c r="R43" s="320">
        <f>+Q43/P43</f>
        <v>1.2987012987012988E-2</v>
      </c>
      <c r="S43" s="186">
        <v>45660</v>
      </c>
      <c r="T43" s="186">
        <v>46022</v>
      </c>
      <c r="U43" s="187">
        <f t="shared" si="0"/>
        <v>362</v>
      </c>
      <c r="V43" s="43">
        <v>385</v>
      </c>
      <c r="W43" s="44" t="s">
        <v>267</v>
      </c>
      <c r="X43" s="43" t="s">
        <v>275</v>
      </c>
      <c r="Y43" s="45" t="s">
        <v>295</v>
      </c>
      <c r="Z43" s="180" t="s">
        <v>294</v>
      </c>
      <c r="AA43" s="42" t="s">
        <v>266</v>
      </c>
      <c r="AB43" s="40" t="s">
        <v>512</v>
      </c>
      <c r="AC43" s="118">
        <v>1150000000</v>
      </c>
      <c r="AD43" s="40" t="s">
        <v>591</v>
      </c>
      <c r="AE43" s="40" t="s">
        <v>594</v>
      </c>
      <c r="AF43" s="43"/>
      <c r="AG43" s="43"/>
      <c r="AH43" s="517"/>
      <c r="AI43" s="517"/>
      <c r="AJ43" s="43"/>
      <c r="AK43" s="43"/>
      <c r="AL43" s="43"/>
      <c r="AM43" s="520"/>
      <c r="AN43" s="44" t="s">
        <v>176</v>
      </c>
      <c r="AO43" s="44" t="s">
        <v>665</v>
      </c>
      <c r="AP43" s="523"/>
      <c r="AQ43" s="523"/>
      <c r="AR43" s="526"/>
      <c r="AS43" s="523"/>
      <c r="AT43" s="523"/>
      <c r="AU43" s="523"/>
      <c r="AV43" s="523"/>
      <c r="AW43" s="4"/>
      <c r="AX43" s="4"/>
      <c r="AY43" s="4"/>
      <c r="AZ43" s="4"/>
      <c r="BA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row>
    <row r="44" spans="1:119" s="151" customFormat="1" ht="69">
      <c r="A44" s="40" t="s">
        <v>172</v>
      </c>
      <c r="B44" s="40" t="s">
        <v>110</v>
      </c>
      <c r="C44" s="41" t="s">
        <v>272</v>
      </c>
      <c r="D44" s="40" t="s">
        <v>123</v>
      </c>
      <c r="E44" s="40" t="s">
        <v>176</v>
      </c>
      <c r="F44" s="179">
        <v>2024130010133</v>
      </c>
      <c r="G44" s="178" t="s">
        <v>187</v>
      </c>
      <c r="H44" s="40" t="s">
        <v>198</v>
      </c>
      <c r="I44" s="357" t="s">
        <v>152</v>
      </c>
      <c r="J44" s="167">
        <v>16</v>
      </c>
      <c r="K44" s="110">
        <v>0.5</v>
      </c>
      <c r="L44" s="40" t="s">
        <v>195</v>
      </c>
      <c r="M44" s="43"/>
      <c r="N44" s="44" t="s">
        <v>592</v>
      </c>
      <c r="O44" s="44">
        <v>19</v>
      </c>
      <c r="P44" s="211">
        <v>200</v>
      </c>
      <c r="Q44" s="43">
        <v>16</v>
      </c>
      <c r="R44" s="320">
        <f>+Q44/P44</f>
        <v>0.08</v>
      </c>
      <c r="S44" s="186">
        <v>45660</v>
      </c>
      <c r="T44" s="186">
        <v>46022</v>
      </c>
      <c r="U44" s="187">
        <f t="shared" si="0"/>
        <v>362</v>
      </c>
      <c r="V44" s="42">
        <v>200</v>
      </c>
      <c r="W44" s="44" t="s">
        <v>267</v>
      </c>
      <c r="X44" s="43" t="s">
        <v>275</v>
      </c>
      <c r="Y44" s="44" t="s">
        <v>285</v>
      </c>
      <c r="Z44" s="43" t="s">
        <v>288</v>
      </c>
      <c r="AA44" s="42" t="s">
        <v>266</v>
      </c>
      <c r="AB44" s="40" t="s">
        <v>511</v>
      </c>
      <c r="AC44" s="118">
        <v>75000000</v>
      </c>
      <c r="AD44" s="43" t="s">
        <v>47</v>
      </c>
      <c r="AE44" s="43" t="s">
        <v>41</v>
      </c>
      <c r="AF44" s="43"/>
      <c r="AG44" s="43"/>
      <c r="AH44" s="517"/>
      <c r="AI44" s="517"/>
      <c r="AJ44" s="43"/>
      <c r="AK44" s="43"/>
      <c r="AL44" s="43"/>
      <c r="AM44" s="520"/>
      <c r="AN44" s="44" t="s">
        <v>176</v>
      </c>
      <c r="AO44" s="44" t="s">
        <v>675</v>
      </c>
      <c r="AP44" s="523"/>
      <c r="AQ44" s="523"/>
      <c r="AR44" s="526"/>
      <c r="AS44" s="523"/>
      <c r="AT44" s="523"/>
      <c r="AU44" s="523"/>
      <c r="AV44" s="523"/>
      <c r="AW44" s="4"/>
      <c r="AX44" s="4"/>
      <c r="AY44" s="4"/>
      <c r="AZ44" s="4"/>
      <c r="BA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row>
    <row r="45" spans="1:119" s="151" customFormat="1" ht="69">
      <c r="A45" s="40" t="s">
        <v>172</v>
      </c>
      <c r="B45" s="40" t="s">
        <v>110</v>
      </c>
      <c r="C45" s="41" t="s">
        <v>272</v>
      </c>
      <c r="D45" s="40" t="s">
        <v>123</v>
      </c>
      <c r="E45" s="40" t="s">
        <v>176</v>
      </c>
      <c r="F45" s="179">
        <v>2024130010133</v>
      </c>
      <c r="G45" s="178" t="s">
        <v>187</v>
      </c>
      <c r="H45" s="40" t="s">
        <v>198</v>
      </c>
      <c r="I45" s="357" t="s">
        <v>152</v>
      </c>
      <c r="J45" s="167">
        <v>16</v>
      </c>
      <c r="K45" s="110">
        <v>0.5</v>
      </c>
      <c r="L45" s="40" t="s">
        <v>194</v>
      </c>
      <c r="M45" s="43"/>
      <c r="N45" s="44" t="s">
        <v>712</v>
      </c>
      <c r="O45" s="44">
        <v>19</v>
      </c>
      <c r="P45" s="211">
        <v>100</v>
      </c>
      <c r="Q45" s="43">
        <v>16</v>
      </c>
      <c r="R45" s="320">
        <f>+Q45/P45</f>
        <v>0.16</v>
      </c>
      <c r="S45" s="186">
        <v>45660</v>
      </c>
      <c r="T45" s="186">
        <v>46022</v>
      </c>
      <c r="U45" s="187">
        <f t="shared" si="0"/>
        <v>362</v>
      </c>
      <c r="V45" s="42">
        <v>100</v>
      </c>
      <c r="W45" s="44" t="s">
        <v>267</v>
      </c>
      <c r="X45" s="43" t="s">
        <v>275</v>
      </c>
      <c r="Y45" s="44" t="s">
        <v>285</v>
      </c>
      <c r="Z45" s="43" t="s">
        <v>288</v>
      </c>
      <c r="AA45" s="42" t="s">
        <v>266</v>
      </c>
      <c r="AB45" s="40" t="s">
        <v>511</v>
      </c>
      <c r="AC45" s="118">
        <v>75000000</v>
      </c>
      <c r="AD45" s="43" t="s">
        <v>47</v>
      </c>
      <c r="AE45" s="43" t="s">
        <v>41</v>
      </c>
      <c r="AF45" s="43"/>
      <c r="AG45" s="43"/>
      <c r="AH45" s="517"/>
      <c r="AI45" s="517"/>
      <c r="AJ45" s="103">
        <v>256887000</v>
      </c>
      <c r="AK45" s="43"/>
      <c r="AL45" s="43"/>
      <c r="AM45" s="520"/>
      <c r="AN45" s="44" t="s">
        <v>176</v>
      </c>
      <c r="AO45" s="44" t="s">
        <v>675</v>
      </c>
      <c r="AP45" s="523"/>
      <c r="AQ45" s="523"/>
      <c r="AR45" s="526"/>
      <c r="AS45" s="523"/>
      <c r="AT45" s="523"/>
      <c r="AU45" s="523"/>
      <c r="AV45" s="523"/>
      <c r="AW45" s="4"/>
      <c r="AX45" s="4"/>
      <c r="AY45" s="4"/>
      <c r="AZ45" s="4"/>
      <c r="BA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row>
    <row r="46" spans="1:119" s="151" customFormat="1" ht="69">
      <c r="A46" s="40" t="s">
        <v>172</v>
      </c>
      <c r="B46" s="40" t="s">
        <v>110</v>
      </c>
      <c r="C46" s="41" t="s">
        <v>272</v>
      </c>
      <c r="D46" s="40" t="s">
        <v>123</v>
      </c>
      <c r="E46" s="40" t="s">
        <v>176</v>
      </c>
      <c r="F46" s="179">
        <v>2024130010133</v>
      </c>
      <c r="G46" s="178" t="s">
        <v>187</v>
      </c>
      <c r="H46" s="40" t="s">
        <v>198</v>
      </c>
      <c r="I46" s="357" t="s">
        <v>152</v>
      </c>
      <c r="J46" s="167">
        <v>16</v>
      </c>
      <c r="K46" s="110">
        <v>0.5</v>
      </c>
      <c r="L46" s="40" t="s">
        <v>194</v>
      </c>
      <c r="M46" s="43"/>
      <c r="N46" s="44" t="s">
        <v>712</v>
      </c>
      <c r="O46" s="44">
        <v>19</v>
      </c>
      <c r="P46" s="211">
        <v>100</v>
      </c>
      <c r="Q46" s="43">
        <v>16</v>
      </c>
      <c r="R46" s="320">
        <f>+Q46/P46</f>
        <v>0.16</v>
      </c>
      <c r="S46" s="186">
        <v>45660</v>
      </c>
      <c r="T46" s="186">
        <v>46022</v>
      </c>
      <c r="U46" s="187">
        <f t="shared" si="0"/>
        <v>362</v>
      </c>
      <c r="V46" s="42">
        <v>100</v>
      </c>
      <c r="W46" s="44" t="s">
        <v>267</v>
      </c>
      <c r="X46" s="43" t="s">
        <v>275</v>
      </c>
      <c r="Y46" s="44" t="s">
        <v>296</v>
      </c>
      <c r="Z46" s="44" t="s">
        <v>297</v>
      </c>
      <c r="AA46" s="42" t="s">
        <v>266</v>
      </c>
      <c r="AB46" s="40" t="s">
        <v>593</v>
      </c>
      <c r="AC46" s="118">
        <v>1150000000</v>
      </c>
      <c r="AD46" s="40" t="s">
        <v>591</v>
      </c>
      <c r="AE46" s="40" t="s">
        <v>594</v>
      </c>
      <c r="AF46" s="152"/>
      <c r="AG46" s="43"/>
      <c r="AH46" s="518"/>
      <c r="AI46" s="518"/>
      <c r="AJ46" s="103">
        <v>26000000</v>
      </c>
      <c r="AK46" s="43"/>
      <c r="AL46" s="43"/>
      <c r="AM46" s="521"/>
      <c r="AN46" s="44" t="s">
        <v>176</v>
      </c>
      <c r="AO46" s="44" t="s">
        <v>675</v>
      </c>
      <c r="AP46" s="524"/>
      <c r="AQ46" s="524"/>
      <c r="AR46" s="527"/>
      <c r="AS46" s="524"/>
      <c r="AT46" s="524"/>
      <c r="AU46" s="524"/>
      <c r="AV46" s="524"/>
      <c r="AW46" s="4"/>
      <c r="AX46" s="4"/>
      <c r="AY46" s="4"/>
      <c r="AZ46" s="4"/>
      <c r="BA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row>
    <row r="47" spans="1:119" s="151" customFormat="1" ht="60" customHeight="1">
      <c r="A47" s="40"/>
      <c r="B47" s="40"/>
      <c r="C47" s="41"/>
      <c r="D47" s="40"/>
      <c r="E47" s="513" t="s">
        <v>690</v>
      </c>
      <c r="F47" s="514"/>
      <c r="G47" s="514"/>
      <c r="H47" s="514"/>
      <c r="I47" s="514"/>
      <c r="J47" s="514"/>
      <c r="K47" s="514"/>
      <c r="L47" s="514"/>
      <c r="M47" s="514"/>
      <c r="N47" s="514"/>
      <c r="O47" s="514"/>
      <c r="P47" s="514"/>
      <c r="Q47" s="515"/>
      <c r="R47" s="321">
        <f>AVERAGE(R40:R46)</f>
        <v>0.34656771799628949</v>
      </c>
      <c r="S47" s="186"/>
      <c r="T47" s="186"/>
      <c r="U47" s="187"/>
      <c r="V47" s="42"/>
      <c r="W47" s="44"/>
      <c r="X47" s="43"/>
      <c r="Y47" s="44"/>
      <c r="Z47" s="44"/>
      <c r="AA47" s="42"/>
      <c r="AB47" s="40"/>
      <c r="AC47" s="118"/>
      <c r="AD47" s="40"/>
      <c r="AE47" s="40"/>
      <c r="AF47" s="152"/>
      <c r="AG47" s="43"/>
      <c r="AH47" s="279"/>
      <c r="AI47" s="279"/>
      <c r="AJ47" s="103"/>
      <c r="AK47" s="43"/>
      <c r="AL47" s="43"/>
      <c r="AM47" s="280"/>
      <c r="AN47" s="44"/>
      <c r="AO47" s="318" t="s">
        <v>689</v>
      </c>
      <c r="AP47" s="304">
        <f>SUM(AP40)</f>
        <v>2760697332.29</v>
      </c>
      <c r="AQ47" s="304">
        <f>SUM(AQ40)</f>
        <v>1185418000</v>
      </c>
      <c r="AR47" s="322">
        <f>SUM(AR40)</f>
        <v>0.4294</v>
      </c>
      <c r="AS47" s="304">
        <f>SUM(AS40)</f>
        <v>0</v>
      </c>
      <c r="AT47" s="304">
        <f>SUM(AT40)</f>
        <v>0</v>
      </c>
      <c r="AU47" s="323">
        <v>0</v>
      </c>
      <c r="AV47" s="323">
        <v>0</v>
      </c>
      <c r="AW47" s="4"/>
      <c r="AX47" s="4"/>
      <c r="AY47" s="4"/>
      <c r="AZ47" s="4"/>
      <c r="BA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row>
    <row r="48" spans="1:119" s="153" customFormat="1" ht="120">
      <c r="A48" s="26" t="s">
        <v>173</v>
      </c>
      <c r="B48" s="26" t="s">
        <v>111</v>
      </c>
      <c r="C48" s="46" t="s">
        <v>273</v>
      </c>
      <c r="D48" s="26" t="s">
        <v>125</v>
      </c>
      <c r="E48" s="26" t="s">
        <v>177</v>
      </c>
      <c r="F48" s="47">
        <v>2024130010147</v>
      </c>
      <c r="G48" s="48" t="s">
        <v>373</v>
      </c>
      <c r="H48" s="26" t="s">
        <v>375</v>
      </c>
      <c r="I48" s="26" t="s">
        <v>376</v>
      </c>
      <c r="J48" s="168">
        <v>4005</v>
      </c>
      <c r="K48" s="110">
        <v>0.3</v>
      </c>
      <c r="L48" s="26" t="s">
        <v>597</v>
      </c>
      <c r="M48" s="147"/>
      <c r="N48" s="48" t="s">
        <v>599</v>
      </c>
      <c r="O48" s="48"/>
      <c r="P48" s="211">
        <v>1</v>
      </c>
      <c r="Q48" s="147" t="s">
        <v>676</v>
      </c>
      <c r="R48" s="324">
        <f>0.5/1</f>
        <v>0.5</v>
      </c>
      <c r="S48" s="186">
        <v>45660</v>
      </c>
      <c r="T48" s="186">
        <v>46022</v>
      </c>
      <c r="U48" s="187">
        <f t="shared" si="0"/>
        <v>362</v>
      </c>
      <c r="V48" s="25">
        <v>5400</v>
      </c>
      <c r="W48" s="48" t="s">
        <v>267</v>
      </c>
      <c r="X48" s="48" t="s">
        <v>282</v>
      </c>
      <c r="Y48" s="26" t="s">
        <v>382</v>
      </c>
      <c r="Z48" s="26" t="s">
        <v>383</v>
      </c>
      <c r="AA48" s="25" t="s">
        <v>266</v>
      </c>
      <c r="AB48" s="26" t="s">
        <v>511</v>
      </c>
      <c r="AC48" s="119">
        <v>64500000</v>
      </c>
      <c r="AD48" s="147" t="s">
        <v>47</v>
      </c>
      <c r="AE48" s="147" t="s">
        <v>41</v>
      </c>
      <c r="AF48" s="147"/>
      <c r="AG48" s="147"/>
      <c r="AH48" s="535">
        <v>844891147</v>
      </c>
      <c r="AI48" s="535"/>
      <c r="AJ48" s="101">
        <v>0</v>
      </c>
      <c r="AK48" s="147"/>
      <c r="AL48" s="147"/>
      <c r="AM48" s="537" t="s">
        <v>562</v>
      </c>
      <c r="AN48" s="48" t="s">
        <v>177</v>
      </c>
      <c r="AO48" s="106" t="s">
        <v>654</v>
      </c>
      <c r="AP48" s="539">
        <v>899558349</v>
      </c>
      <c r="AQ48" s="539">
        <v>132500000</v>
      </c>
      <c r="AR48" s="542">
        <v>0.14729999999999999</v>
      </c>
      <c r="AS48" s="539">
        <v>0</v>
      </c>
      <c r="AT48" s="539">
        <v>0</v>
      </c>
      <c r="AU48" s="545">
        <v>0</v>
      </c>
      <c r="AV48" s="545">
        <v>0</v>
      </c>
      <c r="AW48" s="4"/>
      <c r="AX48" s="4"/>
      <c r="AY48" s="4"/>
      <c r="AZ48" s="4"/>
      <c r="BA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row>
    <row r="49" spans="1:119" s="153" customFormat="1" ht="120">
      <c r="A49" s="26" t="s">
        <v>173</v>
      </c>
      <c r="B49" s="26" t="s">
        <v>111</v>
      </c>
      <c r="C49" s="46" t="s">
        <v>273</v>
      </c>
      <c r="D49" s="26" t="s">
        <v>125</v>
      </c>
      <c r="E49" s="26" t="s">
        <v>177</v>
      </c>
      <c r="F49" s="47">
        <v>2024130010147</v>
      </c>
      <c r="G49" s="99" t="s">
        <v>389</v>
      </c>
      <c r="H49" s="26" t="s">
        <v>374</v>
      </c>
      <c r="I49" s="26" t="s">
        <v>154</v>
      </c>
      <c r="J49" s="168">
        <v>2</v>
      </c>
      <c r="K49" s="110">
        <v>0.3</v>
      </c>
      <c r="L49" s="26" t="s">
        <v>378</v>
      </c>
      <c r="M49" s="147"/>
      <c r="N49" s="48" t="s">
        <v>713</v>
      </c>
      <c r="O49" s="48">
        <v>4</v>
      </c>
      <c r="P49" s="211">
        <v>3</v>
      </c>
      <c r="Q49" s="147" t="s">
        <v>676</v>
      </c>
      <c r="R49" s="325">
        <f>0.5/3</f>
        <v>0.16666666666666666</v>
      </c>
      <c r="S49" s="186">
        <v>45660</v>
      </c>
      <c r="T49" s="186">
        <v>46022</v>
      </c>
      <c r="U49" s="187">
        <f t="shared" si="0"/>
        <v>362</v>
      </c>
      <c r="V49" s="25">
        <v>3</v>
      </c>
      <c r="W49" s="48" t="s">
        <v>267</v>
      </c>
      <c r="X49" s="48" t="s">
        <v>282</v>
      </c>
      <c r="Y49" s="26" t="s">
        <v>289</v>
      </c>
      <c r="Z49" s="26" t="s">
        <v>384</v>
      </c>
      <c r="AA49" s="25" t="s">
        <v>266</v>
      </c>
      <c r="AB49" s="26" t="s">
        <v>511</v>
      </c>
      <c r="AC49" s="119">
        <v>64500000</v>
      </c>
      <c r="AD49" s="147" t="s">
        <v>47</v>
      </c>
      <c r="AE49" s="147" t="s">
        <v>41</v>
      </c>
      <c r="AF49" s="147"/>
      <c r="AG49" s="147"/>
      <c r="AH49" s="536"/>
      <c r="AI49" s="536"/>
      <c r="AJ49" s="101">
        <v>0</v>
      </c>
      <c r="AK49" s="147"/>
      <c r="AL49" s="147"/>
      <c r="AM49" s="538"/>
      <c r="AN49" s="48" t="s">
        <v>177</v>
      </c>
      <c r="AO49" s="106" t="s">
        <v>654</v>
      </c>
      <c r="AP49" s="540"/>
      <c r="AQ49" s="540"/>
      <c r="AR49" s="543"/>
      <c r="AS49" s="540"/>
      <c r="AT49" s="540"/>
      <c r="AU49" s="540"/>
      <c r="AV49" s="540"/>
      <c r="AW49" s="4"/>
      <c r="AX49" s="4"/>
      <c r="AY49" s="4"/>
      <c r="AZ49" s="4"/>
      <c r="BA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row>
    <row r="50" spans="1:119" s="153" customFormat="1" ht="120">
      <c r="A50" s="26" t="s">
        <v>173</v>
      </c>
      <c r="B50" s="26" t="s">
        <v>111</v>
      </c>
      <c r="C50" s="46" t="s">
        <v>273</v>
      </c>
      <c r="D50" s="26" t="s">
        <v>125</v>
      </c>
      <c r="E50" s="26" t="s">
        <v>177</v>
      </c>
      <c r="F50" s="47">
        <v>2024130010147</v>
      </c>
      <c r="G50" s="99" t="s">
        <v>389</v>
      </c>
      <c r="H50" s="26" t="s">
        <v>374</v>
      </c>
      <c r="I50" s="26" t="s">
        <v>154</v>
      </c>
      <c r="J50" s="168">
        <v>2</v>
      </c>
      <c r="K50" s="110">
        <v>0.3</v>
      </c>
      <c r="L50" s="26" t="s">
        <v>378</v>
      </c>
      <c r="M50" s="147"/>
      <c r="N50" s="48" t="s">
        <v>713</v>
      </c>
      <c r="O50" s="48">
        <v>4</v>
      </c>
      <c r="P50" s="211">
        <v>3</v>
      </c>
      <c r="Q50" s="147" t="s">
        <v>676</v>
      </c>
      <c r="R50" s="325">
        <f t="shared" ref="R50:R56" si="2">0.5/3</f>
        <v>0.16666666666666666</v>
      </c>
      <c r="S50" s="186">
        <v>45660</v>
      </c>
      <c r="T50" s="186">
        <v>46022</v>
      </c>
      <c r="U50" s="187">
        <f t="shared" si="0"/>
        <v>362</v>
      </c>
      <c r="V50" s="25">
        <v>3</v>
      </c>
      <c r="W50" s="48" t="s">
        <v>267</v>
      </c>
      <c r="X50" s="48" t="s">
        <v>282</v>
      </c>
      <c r="Y50" s="26" t="s">
        <v>289</v>
      </c>
      <c r="Z50" s="26" t="s">
        <v>384</v>
      </c>
      <c r="AA50" s="25" t="s">
        <v>266</v>
      </c>
      <c r="AB50" s="26" t="s">
        <v>514</v>
      </c>
      <c r="AC50" s="119">
        <v>50000000</v>
      </c>
      <c r="AD50" s="48" t="s">
        <v>48</v>
      </c>
      <c r="AE50" s="147" t="s">
        <v>41</v>
      </c>
      <c r="AF50" s="147"/>
      <c r="AG50" s="147"/>
      <c r="AH50" s="536"/>
      <c r="AI50" s="536"/>
      <c r="AJ50" s="101">
        <v>0</v>
      </c>
      <c r="AK50" s="147"/>
      <c r="AL50" s="147"/>
      <c r="AM50" s="538"/>
      <c r="AN50" s="48" t="s">
        <v>177</v>
      </c>
      <c r="AO50" s="106" t="s">
        <v>654</v>
      </c>
      <c r="AP50" s="540"/>
      <c r="AQ50" s="540"/>
      <c r="AR50" s="543"/>
      <c r="AS50" s="540"/>
      <c r="AT50" s="540"/>
      <c r="AU50" s="540"/>
      <c r="AV50" s="540"/>
      <c r="AW50" s="4"/>
      <c r="AX50" s="4"/>
      <c r="AY50" s="4"/>
      <c r="AZ50" s="4"/>
      <c r="BA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row>
    <row r="51" spans="1:119" s="153" customFormat="1" ht="120">
      <c r="A51" s="26" t="s">
        <v>173</v>
      </c>
      <c r="B51" s="26" t="s">
        <v>111</v>
      </c>
      <c r="C51" s="46" t="s">
        <v>273</v>
      </c>
      <c r="D51" s="26" t="s">
        <v>125</v>
      </c>
      <c r="E51" s="26" t="s">
        <v>177</v>
      </c>
      <c r="F51" s="47">
        <v>2024130010147</v>
      </c>
      <c r="G51" s="99" t="s">
        <v>389</v>
      </c>
      <c r="H51" s="26" t="s">
        <v>374</v>
      </c>
      <c r="I51" s="26" t="s">
        <v>154</v>
      </c>
      <c r="J51" s="168">
        <v>2</v>
      </c>
      <c r="K51" s="110">
        <v>0.3</v>
      </c>
      <c r="L51" s="26" t="s">
        <v>378</v>
      </c>
      <c r="M51" s="147"/>
      <c r="N51" s="48" t="s">
        <v>713</v>
      </c>
      <c r="O51" s="48">
        <v>4</v>
      </c>
      <c r="P51" s="211">
        <v>3</v>
      </c>
      <c r="Q51" s="147" t="s">
        <v>676</v>
      </c>
      <c r="R51" s="325">
        <f t="shared" si="2"/>
        <v>0.16666666666666666</v>
      </c>
      <c r="S51" s="186">
        <v>45660</v>
      </c>
      <c r="T51" s="186">
        <v>46022</v>
      </c>
      <c r="U51" s="187">
        <f t="shared" si="0"/>
        <v>362</v>
      </c>
      <c r="V51" s="25">
        <v>3</v>
      </c>
      <c r="W51" s="48" t="s">
        <v>267</v>
      </c>
      <c r="X51" s="48" t="s">
        <v>282</v>
      </c>
      <c r="Y51" s="26" t="s">
        <v>289</v>
      </c>
      <c r="Z51" s="26" t="s">
        <v>384</v>
      </c>
      <c r="AA51" s="25" t="s">
        <v>266</v>
      </c>
      <c r="AB51" s="26" t="s">
        <v>513</v>
      </c>
      <c r="AC51" s="119">
        <v>70000000</v>
      </c>
      <c r="AD51" s="48" t="s">
        <v>45</v>
      </c>
      <c r="AE51" s="147" t="s">
        <v>41</v>
      </c>
      <c r="AF51" s="147"/>
      <c r="AG51" s="147"/>
      <c r="AH51" s="536"/>
      <c r="AI51" s="536"/>
      <c r="AJ51" s="101">
        <v>0</v>
      </c>
      <c r="AK51" s="147"/>
      <c r="AL51" s="147"/>
      <c r="AM51" s="538"/>
      <c r="AN51" s="48" t="s">
        <v>177</v>
      </c>
      <c r="AO51" s="106" t="s">
        <v>654</v>
      </c>
      <c r="AP51" s="540"/>
      <c r="AQ51" s="540"/>
      <c r="AR51" s="543"/>
      <c r="AS51" s="540"/>
      <c r="AT51" s="540"/>
      <c r="AU51" s="540"/>
      <c r="AV51" s="540"/>
      <c r="AW51" s="4"/>
      <c r="AX51" s="4"/>
      <c r="AY51" s="4"/>
      <c r="AZ51" s="4"/>
      <c r="BA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row>
    <row r="52" spans="1:119" s="153" customFormat="1" ht="120">
      <c r="A52" s="26" t="s">
        <v>173</v>
      </c>
      <c r="B52" s="26" t="s">
        <v>111</v>
      </c>
      <c r="C52" s="46" t="s">
        <v>273</v>
      </c>
      <c r="D52" s="26" t="s">
        <v>125</v>
      </c>
      <c r="E52" s="26" t="s">
        <v>177</v>
      </c>
      <c r="F52" s="47">
        <v>2024130010147</v>
      </c>
      <c r="G52" s="99" t="s">
        <v>389</v>
      </c>
      <c r="H52" s="26" t="s">
        <v>374</v>
      </c>
      <c r="I52" s="358" t="s">
        <v>154</v>
      </c>
      <c r="J52" s="168">
        <v>2</v>
      </c>
      <c r="K52" s="110">
        <v>0.3</v>
      </c>
      <c r="L52" s="26" t="s">
        <v>380</v>
      </c>
      <c r="M52" s="147"/>
      <c r="N52" s="48" t="s">
        <v>714</v>
      </c>
      <c r="O52" s="48">
        <v>4</v>
      </c>
      <c r="P52" s="211">
        <v>1</v>
      </c>
      <c r="Q52" s="147" t="s">
        <v>676</v>
      </c>
      <c r="R52" s="325">
        <f t="shared" si="2"/>
        <v>0.16666666666666666</v>
      </c>
      <c r="S52" s="186">
        <v>45660</v>
      </c>
      <c r="T52" s="186">
        <v>46022</v>
      </c>
      <c r="U52" s="187">
        <f t="shared" si="0"/>
        <v>362</v>
      </c>
      <c r="V52" s="25">
        <v>3</v>
      </c>
      <c r="W52" s="48" t="s">
        <v>267</v>
      </c>
      <c r="X52" s="48" t="s">
        <v>282</v>
      </c>
      <c r="Y52" s="26" t="s">
        <v>289</v>
      </c>
      <c r="Z52" s="26" t="s">
        <v>384</v>
      </c>
      <c r="AA52" s="25" t="s">
        <v>266</v>
      </c>
      <c r="AB52" s="26" t="s">
        <v>511</v>
      </c>
      <c r="AC52" s="119">
        <v>22500000</v>
      </c>
      <c r="AD52" s="147" t="s">
        <v>47</v>
      </c>
      <c r="AE52" s="147" t="s">
        <v>41</v>
      </c>
      <c r="AF52" s="147"/>
      <c r="AG52" s="147"/>
      <c r="AH52" s="536"/>
      <c r="AI52" s="536"/>
      <c r="AJ52" s="101">
        <v>0</v>
      </c>
      <c r="AK52" s="147"/>
      <c r="AL52" s="147"/>
      <c r="AM52" s="538"/>
      <c r="AN52" s="48" t="s">
        <v>177</v>
      </c>
      <c r="AO52" s="106" t="s">
        <v>654</v>
      </c>
      <c r="AP52" s="540"/>
      <c r="AQ52" s="540"/>
      <c r="AR52" s="543"/>
      <c r="AS52" s="540"/>
      <c r="AT52" s="540"/>
      <c r="AU52" s="540"/>
      <c r="AV52" s="540"/>
      <c r="AW52" s="4"/>
      <c r="AX52" s="4"/>
      <c r="AY52" s="4"/>
      <c r="AZ52" s="4"/>
      <c r="BA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row>
    <row r="53" spans="1:119" s="153" customFormat="1" ht="120">
      <c r="A53" s="26" t="s">
        <v>173</v>
      </c>
      <c r="B53" s="26" t="s">
        <v>111</v>
      </c>
      <c r="C53" s="46" t="s">
        <v>273</v>
      </c>
      <c r="D53" s="26" t="s">
        <v>125</v>
      </c>
      <c r="E53" s="26" t="s">
        <v>177</v>
      </c>
      <c r="F53" s="47">
        <v>2024130010147</v>
      </c>
      <c r="G53" s="99" t="s">
        <v>389</v>
      </c>
      <c r="H53" s="26" t="s">
        <v>374</v>
      </c>
      <c r="I53" s="26" t="s">
        <v>154</v>
      </c>
      <c r="J53" s="358">
        <v>2</v>
      </c>
      <c r="K53" s="110">
        <v>0.3</v>
      </c>
      <c r="L53" s="26" t="s">
        <v>380</v>
      </c>
      <c r="M53" s="147"/>
      <c r="N53" s="48" t="s">
        <v>714</v>
      </c>
      <c r="O53" s="48">
        <v>4</v>
      </c>
      <c r="P53" s="211">
        <v>1</v>
      </c>
      <c r="Q53" s="147" t="s">
        <v>676</v>
      </c>
      <c r="R53" s="325">
        <f t="shared" si="2"/>
        <v>0.16666666666666666</v>
      </c>
      <c r="S53" s="186">
        <v>45660</v>
      </c>
      <c r="T53" s="186">
        <v>46022</v>
      </c>
      <c r="U53" s="187">
        <f t="shared" si="0"/>
        <v>362</v>
      </c>
      <c r="V53" s="25">
        <v>3</v>
      </c>
      <c r="W53" s="48" t="s">
        <v>267</v>
      </c>
      <c r="X53" s="48" t="s">
        <v>282</v>
      </c>
      <c r="Y53" s="26" t="s">
        <v>289</v>
      </c>
      <c r="Z53" s="26" t="s">
        <v>384</v>
      </c>
      <c r="AA53" s="25" t="s">
        <v>266</v>
      </c>
      <c r="AB53" s="26" t="s">
        <v>515</v>
      </c>
      <c r="AC53" s="119">
        <v>12000000</v>
      </c>
      <c r="AD53" s="48" t="s">
        <v>48</v>
      </c>
      <c r="AE53" s="147" t="s">
        <v>41</v>
      </c>
      <c r="AF53" s="147"/>
      <c r="AG53" s="147"/>
      <c r="AH53" s="536"/>
      <c r="AI53" s="536"/>
      <c r="AJ53" s="101">
        <v>0</v>
      </c>
      <c r="AK53" s="147"/>
      <c r="AL53" s="147"/>
      <c r="AM53" s="538"/>
      <c r="AN53" s="48" t="s">
        <v>177</v>
      </c>
      <c r="AO53" s="106" t="s">
        <v>654</v>
      </c>
      <c r="AP53" s="540"/>
      <c r="AQ53" s="540"/>
      <c r="AR53" s="543"/>
      <c r="AS53" s="540"/>
      <c r="AT53" s="540"/>
      <c r="AU53" s="540"/>
      <c r="AV53" s="540"/>
      <c r="AW53" s="4"/>
      <c r="AX53" s="4"/>
      <c r="AY53" s="4"/>
      <c r="AZ53" s="4"/>
      <c r="BA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row>
    <row r="54" spans="1:119" s="153" customFormat="1" ht="120">
      <c r="A54" s="26" t="s">
        <v>173</v>
      </c>
      <c r="B54" s="26" t="s">
        <v>111</v>
      </c>
      <c r="C54" s="46" t="s">
        <v>273</v>
      </c>
      <c r="D54" s="26" t="s">
        <v>125</v>
      </c>
      <c r="E54" s="26" t="s">
        <v>177</v>
      </c>
      <c r="F54" s="47">
        <v>2024130010147</v>
      </c>
      <c r="G54" s="99" t="s">
        <v>389</v>
      </c>
      <c r="H54" s="26" t="s">
        <v>374</v>
      </c>
      <c r="I54" s="26" t="s">
        <v>154</v>
      </c>
      <c r="J54" s="168">
        <v>2</v>
      </c>
      <c r="K54" s="110">
        <v>0.3</v>
      </c>
      <c r="L54" s="26" t="s">
        <v>377</v>
      </c>
      <c r="M54" s="147"/>
      <c r="N54" s="48" t="s">
        <v>715</v>
      </c>
      <c r="O54" s="48">
        <v>4</v>
      </c>
      <c r="P54" s="211">
        <v>2</v>
      </c>
      <c r="Q54" s="147" t="s">
        <v>676</v>
      </c>
      <c r="R54" s="325">
        <f t="shared" si="2"/>
        <v>0.16666666666666666</v>
      </c>
      <c r="S54" s="186">
        <v>45660</v>
      </c>
      <c r="T54" s="186">
        <v>46022</v>
      </c>
      <c r="U54" s="187">
        <f t="shared" si="0"/>
        <v>362</v>
      </c>
      <c r="V54" s="25">
        <v>3</v>
      </c>
      <c r="W54" s="48" t="s">
        <v>267</v>
      </c>
      <c r="X54" s="48" t="s">
        <v>282</v>
      </c>
      <c r="Y54" s="26" t="s">
        <v>385</v>
      </c>
      <c r="Z54" s="26" t="s">
        <v>386</v>
      </c>
      <c r="AA54" s="25" t="s">
        <v>266</v>
      </c>
      <c r="AB54" s="26" t="s">
        <v>511</v>
      </c>
      <c r="AC54" s="119">
        <v>64500000</v>
      </c>
      <c r="AD54" s="147" t="s">
        <v>47</v>
      </c>
      <c r="AE54" s="147" t="s">
        <v>41</v>
      </c>
      <c r="AF54" s="147"/>
      <c r="AG54" s="147"/>
      <c r="AH54" s="536"/>
      <c r="AI54" s="536"/>
      <c r="AJ54" s="101">
        <v>0</v>
      </c>
      <c r="AK54" s="147"/>
      <c r="AL54" s="147"/>
      <c r="AM54" s="538"/>
      <c r="AN54" s="48" t="s">
        <v>177</v>
      </c>
      <c r="AO54" s="106" t="s">
        <v>654</v>
      </c>
      <c r="AP54" s="540"/>
      <c r="AQ54" s="540"/>
      <c r="AR54" s="543"/>
      <c r="AS54" s="540"/>
      <c r="AT54" s="540"/>
      <c r="AU54" s="540"/>
      <c r="AV54" s="540"/>
      <c r="AW54" s="4"/>
      <c r="AX54" s="4"/>
      <c r="AY54" s="4"/>
      <c r="AZ54" s="4"/>
      <c r="BA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row>
    <row r="55" spans="1:119" s="153" customFormat="1" ht="120">
      <c r="A55" s="26" t="s">
        <v>173</v>
      </c>
      <c r="B55" s="26" t="s">
        <v>111</v>
      </c>
      <c r="C55" s="46" t="s">
        <v>273</v>
      </c>
      <c r="D55" s="26" t="s">
        <v>125</v>
      </c>
      <c r="E55" s="26" t="s">
        <v>177</v>
      </c>
      <c r="F55" s="47">
        <v>2024130010147</v>
      </c>
      <c r="G55" s="99" t="s">
        <v>389</v>
      </c>
      <c r="H55" s="26" t="s">
        <v>374</v>
      </c>
      <c r="I55" s="26" t="s">
        <v>154</v>
      </c>
      <c r="J55" s="168">
        <v>2</v>
      </c>
      <c r="K55" s="110">
        <v>0.3</v>
      </c>
      <c r="L55" s="26" t="s">
        <v>379</v>
      </c>
      <c r="M55" s="147"/>
      <c r="N55" s="48" t="s">
        <v>716</v>
      </c>
      <c r="O55" s="48">
        <v>4</v>
      </c>
      <c r="P55" s="211">
        <v>1</v>
      </c>
      <c r="Q55" s="147" t="s">
        <v>676</v>
      </c>
      <c r="R55" s="325">
        <f t="shared" si="2"/>
        <v>0.16666666666666666</v>
      </c>
      <c r="S55" s="186">
        <v>45660</v>
      </c>
      <c r="T55" s="186">
        <v>46022</v>
      </c>
      <c r="U55" s="187">
        <f t="shared" si="0"/>
        <v>362</v>
      </c>
      <c r="V55" s="25">
        <v>3</v>
      </c>
      <c r="W55" s="48" t="s">
        <v>267</v>
      </c>
      <c r="X55" s="48" t="s">
        <v>282</v>
      </c>
      <c r="Y55" s="26" t="s">
        <v>385</v>
      </c>
      <c r="Z55" s="26" t="s">
        <v>386</v>
      </c>
      <c r="AA55" s="25" t="s">
        <v>266</v>
      </c>
      <c r="AB55" s="26" t="s">
        <v>511</v>
      </c>
      <c r="AC55" s="119">
        <v>36000000</v>
      </c>
      <c r="AD55" s="147" t="s">
        <v>47</v>
      </c>
      <c r="AE55" s="147" t="s">
        <v>41</v>
      </c>
      <c r="AF55" s="147"/>
      <c r="AG55" s="147"/>
      <c r="AH55" s="536"/>
      <c r="AI55" s="536"/>
      <c r="AJ55" s="101">
        <v>0</v>
      </c>
      <c r="AK55" s="147"/>
      <c r="AL55" s="147"/>
      <c r="AM55" s="538"/>
      <c r="AN55" s="48" t="s">
        <v>177</v>
      </c>
      <c r="AO55" s="106" t="s">
        <v>654</v>
      </c>
      <c r="AP55" s="540"/>
      <c r="AQ55" s="540"/>
      <c r="AR55" s="543"/>
      <c r="AS55" s="540"/>
      <c r="AT55" s="540"/>
      <c r="AU55" s="540"/>
      <c r="AV55" s="540"/>
      <c r="AW55" s="4"/>
      <c r="AX55" s="4"/>
      <c r="AY55" s="4"/>
      <c r="AZ55" s="4"/>
      <c r="BA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row>
    <row r="56" spans="1:119" s="153" customFormat="1" ht="120">
      <c r="A56" s="26" t="s">
        <v>173</v>
      </c>
      <c r="B56" s="26" t="s">
        <v>111</v>
      </c>
      <c r="C56" s="46" t="s">
        <v>276</v>
      </c>
      <c r="D56" s="26" t="s">
        <v>125</v>
      </c>
      <c r="E56" s="26" t="s">
        <v>177</v>
      </c>
      <c r="F56" s="47">
        <v>2024130010147</v>
      </c>
      <c r="G56" s="99" t="s">
        <v>389</v>
      </c>
      <c r="H56" s="26" t="s">
        <v>374</v>
      </c>
      <c r="I56" s="26" t="s">
        <v>154</v>
      </c>
      <c r="J56" s="168">
        <v>2</v>
      </c>
      <c r="K56" s="110">
        <v>0.3</v>
      </c>
      <c r="L56" s="26" t="s">
        <v>379</v>
      </c>
      <c r="M56" s="147"/>
      <c r="N56" s="48" t="s">
        <v>717</v>
      </c>
      <c r="O56" s="48">
        <v>4</v>
      </c>
      <c r="P56" s="211">
        <v>1</v>
      </c>
      <c r="Q56" s="147" t="s">
        <v>676</v>
      </c>
      <c r="R56" s="325">
        <f t="shared" si="2"/>
        <v>0.16666666666666666</v>
      </c>
      <c r="S56" s="186">
        <v>45660</v>
      </c>
      <c r="T56" s="186">
        <v>46022</v>
      </c>
      <c r="U56" s="187">
        <f t="shared" si="0"/>
        <v>362</v>
      </c>
      <c r="V56" s="25">
        <v>3</v>
      </c>
      <c r="W56" s="48" t="s">
        <v>267</v>
      </c>
      <c r="X56" s="48" t="s">
        <v>282</v>
      </c>
      <c r="Y56" s="26" t="s">
        <v>385</v>
      </c>
      <c r="Z56" s="26" t="s">
        <v>386</v>
      </c>
      <c r="AA56" s="25" t="s">
        <v>266</v>
      </c>
      <c r="AB56" s="26" t="s">
        <v>598</v>
      </c>
      <c r="AC56" s="119">
        <v>50000000</v>
      </c>
      <c r="AD56" s="48" t="s">
        <v>45</v>
      </c>
      <c r="AE56" s="147" t="s">
        <v>41</v>
      </c>
      <c r="AF56" s="147"/>
      <c r="AG56" s="147"/>
      <c r="AH56" s="536"/>
      <c r="AI56" s="536"/>
      <c r="AJ56" s="101">
        <v>0</v>
      </c>
      <c r="AK56" s="147"/>
      <c r="AL56" s="147"/>
      <c r="AM56" s="538"/>
      <c r="AN56" s="48" t="s">
        <v>177</v>
      </c>
      <c r="AO56" s="106" t="s">
        <v>654</v>
      </c>
      <c r="AP56" s="540"/>
      <c r="AQ56" s="540"/>
      <c r="AR56" s="543"/>
      <c r="AS56" s="540"/>
      <c r="AT56" s="540"/>
      <c r="AU56" s="540"/>
      <c r="AV56" s="540"/>
      <c r="AW56" s="4"/>
      <c r="AX56" s="4"/>
      <c r="AY56" s="4"/>
      <c r="AZ56" s="4"/>
      <c r="BA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row>
    <row r="57" spans="1:119" s="153" customFormat="1" ht="285.60000000000002">
      <c r="A57" s="26" t="s">
        <v>173</v>
      </c>
      <c r="B57" s="26" t="s">
        <v>111</v>
      </c>
      <c r="C57" s="46" t="s">
        <v>276</v>
      </c>
      <c r="D57" s="26" t="s">
        <v>124</v>
      </c>
      <c r="E57" s="145" t="s">
        <v>177</v>
      </c>
      <c r="F57" s="146">
        <v>2024130010147</v>
      </c>
      <c r="G57" s="99" t="s">
        <v>389</v>
      </c>
      <c r="H57" s="26" t="s">
        <v>374</v>
      </c>
      <c r="I57" s="26" t="s">
        <v>154</v>
      </c>
      <c r="J57" s="168">
        <v>2</v>
      </c>
      <c r="K57" s="110">
        <v>0.7</v>
      </c>
      <c r="L57" s="99" t="s">
        <v>381</v>
      </c>
      <c r="M57" s="147"/>
      <c r="N57" s="48" t="s">
        <v>718</v>
      </c>
      <c r="O57" s="48">
        <v>7187</v>
      </c>
      <c r="P57" s="211">
        <v>5400</v>
      </c>
      <c r="Q57" s="147">
        <v>300</v>
      </c>
      <c r="R57" s="325">
        <f>+Q57/P57</f>
        <v>5.5555555555555552E-2</v>
      </c>
      <c r="S57" s="186">
        <v>45660</v>
      </c>
      <c r="T57" s="186">
        <v>46022</v>
      </c>
      <c r="U57" s="187">
        <f t="shared" si="0"/>
        <v>362</v>
      </c>
      <c r="V57" s="25">
        <v>3</v>
      </c>
      <c r="W57" s="48" t="s">
        <v>267</v>
      </c>
      <c r="X57" s="48" t="s">
        <v>282</v>
      </c>
      <c r="Y57" s="26" t="s">
        <v>387</v>
      </c>
      <c r="Z57" s="26" t="s">
        <v>388</v>
      </c>
      <c r="AA57" s="25" t="s">
        <v>266</v>
      </c>
      <c r="AB57" s="26" t="s">
        <v>511</v>
      </c>
      <c r="AC57" s="119">
        <v>64500000</v>
      </c>
      <c r="AD57" s="147" t="s">
        <v>47</v>
      </c>
      <c r="AE57" s="147" t="s">
        <v>41</v>
      </c>
      <c r="AF57" s="147"/>
      <c r="AG57" s="147"/>
      <c r="AH57" s="536"/>
      <c r="AI57" s="536"/>
      <c r="AJ57" s="101">
        <v>0</v>
      </c>
      <c r="AK57" s="147"/>
      <c r="AL57" s="147"/>
      <c r="AM57" s="538"/>
      <c r="AN57" s="48" t="s">
        <v>177</v>
      </c>
      <c r="AO57" s="106" t="s">
        <v>677</v>
      </c>
      <c r="AP57" s="540"/>
      <c r="AQ57" s="540"/>
      <c r="AR57" s="543"/>
      <c r="AS57" s="540"/>
      <c r="AT57" s="540"/>
      <c r="AU57" s="540"/>
      <c r="AV57" s="540"/>
      <c r="AW57" s="4"/>
      <c r="AX57" s="4"/>
      <c r="AY57" s="4"/>
      <c r="AZ57" s="4"/>
      <c r="BA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row>
    <row r="58" spans="1:119" s="153" customFormat="1" ht="285.60000000000002">
      <c r="A58" s="26" t="s">
        <v>173</v>
      </c>
      <c r="B58" s="26" t="s">
        <v>111</v>
      </c>
      <c r="C58" s="46" t="s">
        <v>276</v>
      </c>
      <c r="D58" s="26" t="s">
        <v>124</v>
      </c>
      <c r="E58" s="145" t="s">
        <v>177</v>
      </c>
      <c r="F58" s="146">
        <v>2024130010147</v>
      </c>
      <c r="G58" s="99" t="s">
        <v>389</v>
      </c>
      <c r="H58" s="26" t="s">
        <v>374</v>
      </c>
      <c r="I58" s="26" t="s">
        <v>154</v>
      </c>
      <c r="J58" s="168">
        <v>2</v>
      </c>
      <c r="K58" s="110">
        <v>0.7</v>
      </c>
      <c r="L58" s="99" t="s">
        <v>381</v>
      </c>
      <c r="M58" s="147"/>
      <c r="N58" s="48" t="s">
        <v>718</v>
      </c>
      <c r="O58" s="48">
        <v>7187</v>
      </c>
      <c r="P58" s="211">
        <v>5400</v>
      </c>
      <c r="Q58" s="147">
        <v>300</v>
      </c>
      <c r="R58" s="325">
        <f>+Q58/P58</f>
        <v>5.5555555555555552E-2</v>
      </c>
      <c r="S58" s="186">
        <v>45660</v>
      </c>
      <c r="T58" s="186">
        <v>46022</v>
      </c>
      <c r="U58" s="187">
        <f t="shared" si="0"/>
        <v>362</v>
      </c>
      <c r="V58" s="25">
        <v>3</v>
      </c>
      <c r="W58" s="48" t="s">
        <v>267</v>
      </c>
      <c r="X58" s="48" t="s">
        <v>282</v>
      </c>
      <c r="Y58" s="26" t="s">
        <v>387</v>
      </c>
      <c r="Z58" s="26" t="s">
        <v>388</v>
      </c>
      <c r="AA58" s="25" t="s">
        <v>266</v>
      </c>
      <c r="AB58" s="26" t="s">
        <v>595</v>
      </c>
      <c r="AC58" s="119">
        <v>221391147</v>
      </c>
      <c r="AD58" s="48" t="s">
        <v>44</v>
      </c>
      <c r="AE58" s="26" t="s">
        <v>596</v>
      </c>
      <c r="AF58" s="147"/>
      <c r="AG58" s="147"/>
      <c r="AH58" s="536"/>
      <c r="AI58" s="536"/>
      <c r="AJ58" s="101">
        <v>0</v>
      </c>
      <c r="AK58" s="147"/>
      <c r="AL58" s="147"/>
      <c r="AM58" s="538"/>
      <c r="AN58" s="48" t="s">
        <v>177</v>
      </c>
      <c r="AO58" s="106" t="s">
        <v>677</v>
      </c>
      <c r="AP58" s="540"/>
      <c r="AQ58" s="540"/>
      <c r="AR58" s="543"/>
      <c r="AS58" s="540"/>
      <c r="AT58" s="540"/>
      <c r="AU58" s="540"/>
      <c r="AV58" s="540"/>
      <c r="AW58" s="4"/>
      <c r="AX58" s="4"/>
      <c r="AY58" s="4"/>
      <c r="AZ58" s="4"/>
      <c r="BA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row>
    <row r="59" spans="1:119" s="153" customFormat="1" ht="285.60000000000002">
      <c r="A59" s="26" t="s">
        <v>173</v>
      </c>
      <c r="B59" s="26" t="s">
        <v>111</v>
      </c>
      <c r="C59" s="46" t="s">
        <v>276</v>
      </c>
      <c r="D59" s="26" t="s">
        <v>124</v>
      </c>
      <c r="E59" s="26" t="s">
        <v>177</v>
      </c>
      <c r="F59" s="47">
        <v>2024130010147</v>
      </c>
      <c r="G59" s="99" t="s">
        <v>389</v>
      </c>
      <c r="H59" s="26" t="s">
        <v>374</v>
      </c>
      <c r="I59" s="26" t="s">
        <v>154</v>
      </c>
      <c r="J59" s="168">
        <v>2</v>
      </c>
      <c r="K59" s="110">
        <v>0.7</v>
      </c>
      <c r="L59" s="99" t="s">
        <v>211</v>
      </c>
      <c r="M59" s="147"/>
      <c r="N59" s="48" t="s">
        <v>578</v>
      </c>
      <c r="O59" s="48">
        <v>20</v>
      </c>
      <c r="P59" s="211">
        <v>3</v>
      </c>
      <c r="Q59" s="147">
        <v>300</v>
      </c>
      <c r="R59" s="147"/>
      <c r="S59" s="186">
        <v>45660</v>
      </c>
      <c r="T59" s="186">
        <v>46022</v>
      </c>
      <c r="U59" s="187">
        <f t="shared" si="0"/>
        <v>362</v>
      </c>
      <c r="V59" s="25">
        <v>3</v>
      </c>
      <c r="W59" s="48" t="s">
        <v>267</v>
      </c>
      <c r="X59" s="48" t="s">
        <v>282</v>
      </c>
      <c r="Y59" s="26" t="s">
        <v>387</v>
      </c>
      <c r="Z59" s="26" t="s">
        <v>388</v>
      </c>
      <c r="AA59" s="25" t="s">
        <v>266</v>
      </c>
      <c r="AB59" s="26" t="s">
        <v>581</v>
      </c>
      <c r="AC59" s="119">
        <v>125000000</v>
      </c>
      <c r="AD59" s="48" t="s">
        <v>44</v>
      </c>
      <c r="AE59" s="147" t="s">
        <v>41</v>
      </c>
      <c r="AF59" s="147"/>
      <c r="AG59" s="147"/>
      <c r="AH59" s="536"/>
      <c r="AI59" s="536"/>
      <c r="AJ59" s="101">
        <v>0</v>
      </c>
      <c r="AK59" s="147"/>
      <c r="AL59" s="147"/>
      <c r="AM59" s="538"/>
      <c r="AN59" s="48" t="s">
        <v>177</v>
      </c>
      <c r="AO59" s="106" t="s">
        <v>677</v>
      </c>
      <c r="AP59" s="541"/>
      <c r="AQ59" s="541"/>
      <c r="AR59" s="544"/>
      <c r="AS59" s="541"/>
      <c r="AT59" s="541"/>
      <c r="AU59" s="541"/>
      <c r="AV59" s="541"/>
      <c r="AW59" s="4"/>
      <c r="AX59" s="4"/>
      <c r="AY59" s="4"/>
      <c r="AZ59" s="4"/>
      <c r="BA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row>
    <row r="60" spans="1:119" s="153" customFormat="1" ht="72.75" customHeight="1">
      <c r="A60" s="26"/>
      <c r="B60" s="26"/>
      <c r="C60" s="46"/>
      <c r="D60" s="26"/>
      <c r="E60" s="513" t="s">
        <v>691</v>
      </c>
      <c r="F60" s="514"/>
      <c r="G60" s="514"/>
      <c r="H60" s="514"/>
      <c r="I60" s="514"/>
      <c r="J60" s="514"/>
      <c r="K60" s="514"/>
      <c r="L60" s="514"/>
      <c r="M60" s="514"/>
      <c r="N60" s="514"/>
      <c r="O60" s="514"/>
      <c r="P60" s="514"/>
      <c r="Q60" s="515"/>
      <c r="R60" s="326">
        <f>AVERAGE(R48:R59)</f>
        <v>0.1767676767676768</v>
      </c>
      <c r="S60" s="186"/>
      <c r="T60" s="186"/>
      <c r="U60" s="187"/>
      <c r="V60" s="25"/>
      <c r="W60" s="48"/>
      <c r="X60" s="48"/>
      <c r="Y60" s="26"/>
      <c r="Z60" s="26"/>
      <c r="AA60" s="25"/>
      <c r="AB60" s="26"/>
      <c r="AC60" s="119"/>
      <c r="AD60" s="48"/>
      <c r="AE60" s="147"/>
      <c r="AF60" s="147"/>
      <c r="AG60" s="147"/>
      <c r="AH60" s="281"/>
      <c r="AI60" s="281"/>
      <c r="AJ60" s="101"/>
      <c r="AK60" s="147"/>
      <c r="AL60" s="147"/>
      <c r="AM60" s="285"/>
      <c r="AN60" s="48"/>
      <c r="AO60" s="318" t="s">
        <v>689</v>
      </c>
      <c r="AP60" s="305">
        <f>SUM(AP48)</f>
        <v>899558349</v>
      </c>
      <c r="AQ60" s="305">
        <f>SUM(AQ48)</f>
        <v>132500000</v>
      </c>
      <c r="AR60" s="327">
        <f>SUM(AR48)</f>
        <v>0.14729999999999999</v>
      </c>
      <c r="AS60" s="305">
        <f>SUM(AS48)</f>
        <v>0</v>
      </c>
      <c r="AT60" s="305">
        <f>SUM(AT48)</f>
        <v>0</v>
      </c>
      <c r="AU60" s="328">
        <v>0</v>
      </c>
      <c r="AV60" s="328">
        <v>0</v>
      </c>
      <c r="AW60" s="4"/>
      <c r="AX60" s="4"/>
      <c r="AY60" s="4"/>
      <c r="AZ60" s="4"/>
      <c r="BA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row>
    <row r="61" spans="1:119" s="154" customFormat="1" ht="409.6">
      <c r="A61" s="49" t="s">
        <v>172</v>
      </c>
      <c r="B61" s="49" t="s">
        <v>112</v>
      </c>
      <c r="C61" s="50" t="s">
        <v>276</v>
      </c>
      <c r="D61" s="49" t="s">
        <v>126</v>
      </c>
      <c r="E61" s="49" t="s">
        <v>178</v>
      </c>
      <c r="F61" s="51">
        <v>2024130010130</v>
      </c>
      <c r="G61" s="49" t="s">
        <v>192</v>
      </c>
      <c r="H61" s="49" t="s">
        <v>215</v>
      </c>
      <c r="I61" s="49" t="s">
        <v>155</v>
      </c>
      <c r="J61" s="169">
        <v>5905</v>
      </c>
      <c r="K61" s="210">
        <v>0.4</v>
      </c>
      <c r="L61" s="63" t="s">
        <v>208</v>
      </c>
      <c r="M61" s="208" t="s">
        <v>547</v>
      </c>
      <c r="N61" s="53" t="s">
        <v>551</v>
      </c>
      <c r="O61" s="53">
        <v>6762</v>
      </c>
      <c r="P61" s="211">
        <v>6700</v>
      </c>
      <c r="Q61" s="52">
        <v>1239</v>
      </c>
      <c r="R61" s="329">
        <f>+Q61/P61</f>
        <v>0.18492537313432836</v>
      </c>
      <c r="S61" s="186">
        <v>45660</v>
      </c>
      <c r="T61" s="186">
        <v>46022</v>
      </c>
      <c r="U61" s="187">
        <f t="shared" si="0"/>
        <v>362</v>
      </c>
      <c r="V61" s="49">
        <v>6700</v>
      </c>
      <c r="W61" s="53" t="s">
        <v>267</v>
      </c>
      <c r="X61" s="52" t="s">
        <v>275</v>
      </c>
      <c r="Y61" s="53" t="s">
        <v>298</v>
      </c>
      <c r="Z61" s="53" t="s">
        <v>299</v>
      </c>
      <c r="AA61" s="54" t="s">
        <v>266</v>
      </c>
      <c r="AB61" s="120" t="s">
        <v>602</v>
      </c>
      <c r="AC61" s="121">
        <v>300000000</v>
      </c>
      <c r="AD61" s="53" t="s">
        <v>45</v>
      </c>
      <c r="AE61" s="52" t="s">
        <v>41</v>
      </c>
      <c r="AF61" s="52"/>
      <c r="AG61" s="52"/>
      <c r="AH61" s="546">
        <v>4532675119</v>
      </c>
      <c r="AI61" s="546"/>
      <c r="AJ61" s="52"/>
      <c r="AK61" s="52"/>
      <c r="AL61" s="52"/>
      <c r="AM61" s="549" t="s">
        <v>563</v>
      </c>
      <c r="AN61" s="53" t="s">
        <v>178</v>
      </c>
      <c r="AO61" s="107" t="s">
        <v>660</v>
      </c>
      <c r="AP61" s="552">
        <v>8250277366.1000004</v>
      </c>
      <c r="AQ61" s="552">
        <v>1158543000</v>
      </c>
      <c r="AR61" s="555">
        <v>0.1404</v>
      </c>
      <c r="AS61" s="552">
        <v>0</v>
      </c>
      <c r="AT61" s="552">
        <v>0</v>
      </c>
      <c r="AU61" s="565">
        <v>0</v>
      </c>
      <c r="AV61" s="565">
        <v>0</v>
      </c>
      <c r="AW61" s="4"/>
      <c r="AX61" s="4"/>
      <c r="AY61" s="4"/>
      <c r="AZ61" s="4"/>
      <c r="BA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row>
    <row r="62" spans="1:119" s="154" customFormat="1" ht="409.6">
      <c r="A62" s="49" t="s">
        <v>172</v>
      </c>
      <c r="B62" s="49" t="s">
        <v>112</v>
      </c>
      <c r="C62" s="50" t="s">
        <v>276</v>
      </c>
      <c r="D62" s="49" t="s">
        <v>126</v>
      </c>
      <c r="E62" s="49" t="s">
        <v>178</v>
      </c>
      <c r="F62" s="51">
        <v>2024130010130</v>
      </c>
      <c r="G62" s="49" t="s">
        <v>192</v>
      </c>
      <c r="H62" s="49" t="s">
        <v>215</v>
      </c>
      <c r="I62" s="49" t="s">
        <v>155</v>
      </c>
      <c r="J62" s="169">
        <v>5905</v>
      </c>
      <c r="K62" s="210">
        <v>0.4</v>
      </c>
      <c r="L62" s="63" t="s">
        <v>207</v>
      </c>
      <c r="M62" s="208" t="s">
        <v>547</v>
      </c>
      <c r="N62" s="53" t="s">
        <v>719</v>
      </c>
      <c r="O62" s="53">
        <v>6762</v>
      </c>
      <c r="P62" s="211">
        <v>20</v>
      </c>
      <c r="Q62" s="52">
        <v>1239</v>
      </c>
      <c r="R62" s="52"/>
      <c r="S62" s="186">
        <v>45660</v>
      </c>
      <c r="T62" s="186">
        <v>46022</v>
      </c>
      <c r="U62" s="187">
        <f t="shared" si="0"/>
        <v>362</v>
      </c>
      <c r="V62" s="49">
        <v>6700</v>
      </c>
      <c r="W62" s="53" t="s">
        <v>267</v>
      </c>
      <c r="X62" s="52" t="s">
        <v>275</v>
      </c>
      <c r="Y62" s="53" t="s">
        <v>298</v>
      </c>
      <c r="Z62" s="53" t="s">
        <v>299</v>
      </c>
      <c r="AA62" s="54" t="s">
        <v>266</v>
      </c>
      <c r="AB62" s="63" t="s">
        <v>511</v>
      </c>
      <c r="AC62" s="121">
        <v>150000000</v>
      </c>
      <c r="AD62" s="52" t="s">
        <v>47</v>
      </c>
      <c r="AE62" s="52" t="s">
        <v>41</v>
      </c>
      <c r="AF62" s="52"/>
      <c r="AG62" s="52"/>
      <c r="AH62" s="547"/>
      <c r="AI62" s="547"/>
      <c r="AJ62" s="52"/>
      <c r="AK62" s="52"/>
      <c r="AL62" s="52"/>
      <c r="AM62" s="550"/>
      <c r="AN62" s="53" t="s">
        <v>178</v>
      </c>
      <c r="AO62" s="107" t="s">
        <v>660</v>
      </c>
      <c r="AP62" s="553"/>
      <c r="AQ62" s="553"/>
      <c r="AR62" s="556"/>
      <c r="AS62" s="553"/>
      <c r="AT62" s="553"/>
      <c r="AU62" s="553"/>
      <c r="AV62" s="553"/>
      <c r="AW62" s="4"/>
      <c r="AX62" s="4"/>
      <c r="AY62" s="4"/>
      <c r="AZ62" s="4"/>
      <c r="BA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row>
    <row r="63" spans="1:119" s="154" customFormat="1" ht="409.6">
      <c r="A63" s="49" t="s">
        <v>172</v>
      </c>
      <c r="B63" s="49" t="s">
        <v>112</v>
      </c>
      <c r="C63" s="50" t="s">
        <v>276</v>
      </c>
      <c r="D63" s="49" t="s">
        <v>126</v>
      </c>
      <c r="E63" s="49" t="s">
        <v>178</v>
      </c>
      <c r="F63" s="51">
        <v>2024130010130</v>
      </c>
      <c r="G63" s="49" t="s">
        <v>192</v>
      </c>
      <c r="H63" s="49" t="s">
        <v>215</v>
      </c>
      <c r="I63" s="49" t="s">
        <v>155</v>
      </c>
      <c r="J63" s="169">
        <v>5905</v>
      </c>
      <c r="K63" s="210">
        <v>0.4</v>
      </c>
      <c r="L63" s="53" t="s">
        <v>206</v>
      </c>
      <c r="M63" s="208" t="s">
        <v>547</v>
      </c>
      <c r="N63" s="53" t="s">
        <v>551</v>
      </c>
      <c r="O63" s="53">
        <v>6762</v>
      </c>
      <c r="P63" s="211">
        <v>6700</v>
      </c>
      <c r="Q63" s="52">
        <v>1239</v>
      </c>
      <c r="R63" s="329">
        <f>+Q63/P63</f>
        <v>0.18492537313432836</v>
      </c>
      <c r="S63" s="186">
        <v>45660</v>
      </c>
      <c r="T63" s="186">
        <v>46022</v>
      </c>
      <c r="U63" s="187">
        <f t="shared" si="0"/>
        <v>362</v>
      </c>
      <c r="V63" s="49">
        <v>6700</v>
      </c>
      <c r="W63" s="53" t="s">
        <v>267</v>
      </c>
      <c r="X63" s="52" t="s">
        <v>275</v>
      </c>
      <c r="Y63" s="53" t="s">
        <v>300</v>
      </c>
      <c r="Z63" s="53" t="s">
        <v>301</v>
      </c>
      <c r="AA63" s="54" t="s">
        <v>266</v>
      </c>
      <c r="AB63" s="63" t="s">
        <v>511</v>
      </c>
      <c r="AC63" s="121">
        <v>700000000</v>
      </c>
      <c r="AD63" s="52" t="s">
        <v>47</v>
      </c>
      <c r="AE63" s="63" t="s">
        <v>596</v>
      </c>
      <c r="AF63" s="52"/>
      <c r="AG63" s="52"/>
      <c r="AH63" s="547"/>
      <c r="AI63" s="547"/>
      <c r="AJ63" s="52"/>
      <c r="AK63" s="52"/>
      <c r="AL63" s="52"/>
      <c r="AM63" s="550"/>
      <c r="AN63" s="53" t="s">
        <v>178</v>
      </c>
      <c r="AO63" s="107" t="s">
        <v>660</v>
      </c>
      <c r="AP63" s="553"/>
      <c r="AQ63" s="553"/>
      <c r="AR63" s="556"/>
      <c r="AS63" s="553"/>
      <c r="AT63" s="553"/>
      <c r="AU63" s="553"/>
      <c r="AV63" s="553"/>
      <c r="AW63" s="4"/>
      <c r="AX63" s="4"/>
      <c r="AY63" s="4"/>
      <c r="AZ63" s="4"/>
      <c r="BA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row>
    <row r="64" spans="1:119" s="154" customFormat="1" ht="409.6">
      <c r="A64" s="49" t="s">
        <v>172</v>
      </c>
      <c r="B64" s="49" t="s">
        <v>112</v>
      </c>
      <c r="C64" s="50" t="s">
        <v>276</v>
      </c>
      <c r="D64" s="49" t="s">
        <v>126</v>
      </c>
      <c r="E64" s="49" t="s">
        <v>178</v>
      </c>
      <c r="F64" s="51">
        <v>2024130010130</v>
      </c>
      <c r="G64" s="49" t="s">
        <v>192</v>
      </c>
      <c r="H64" s="49" t="s">
        <v>215</v>
      </c>
      <c r="I64" s="49" t="s">
        <v>155</v>
      </c>
      <c r="J64" s="169">
        <v>5905</v>
      </c>
      <c r="K64" s="210">
        <v>0.4</v>
      </c>
      <c r="L64" s="53" t="s">
        <v>206</v>
      </c>
      <c r="M64" s="208" t="s">
        <v>547</v>
      </c>
      <c r="N64" s="53" t="s">
        <v>551</v>
      </c>
      <c r="O64" s="53">
        <v>6762</v>
      </c>
      <c r="P64" s="211">
        <v>6700</v>
      </c>
      <c r="Q64" s="52">
        <v>1239</v>
      </c>
      <c r="R64" s="329">
        <f>+Q64/P64</f>
        <v>0.18492537313432836</v>
      </c>
      <c r="S64" s="186">
        <v>45660</v>
      </c>
      <c r="T64" s="186">
        <v>46022</v>
      </c>
      <c r="U64" s="187">
        <f t="shared" si="0"/>
        <v>362</v>
      </c>
      <c r="V64" s="49">
        <v>6700</v>
      </c>
      <c r="W64" s="53" t="s">
        <v>267</v>
      </c>
      <c r="X64" s="52" t="s">
        <v>275</v>
      </c>
      <c r="Y64" s="53" t="s">
        <v>300</v>
      </c>
      <c r="Z64" s="53" t="s">
        <v>301</v>
      </c>
      <c r="AA64" s="54" t="s">
        <v>266</v>
      </c>
      <c r="AB64" s="63" t="s">
        <v>603</v>
      </c>
      <c r="AC64" s="121">
        <v>905700000</v>
      </c>
      <c r="AD64" s="52" t="s">
        <v>42</v>
      </c>
      <c r="AE64" s="52" t="s">
        <v>41</v>
      </c>
      <c r="AF64" s="52"/>
      <c r="AG64" s="52"/>
      <c r="AH64" s="547"/>
      <c r="AI64" s="547"/>
      <c r="AJ64" s="52"/>
      <c r="AK64" s="52"/>
      <c r="AL64" s="52"/>
      <c r="AM64" s="550"/>
      <c r="AN64" s="53" t="s">
        <v>178</v>
      </c>
      <c r="AO64" s="107" t="s">
        <v>660</v>
      </c>
      <c r="AP64" s="553"/>
      <c r="AQ64" s="553"/>
      <c r="AR64" s="556"/>
      <c r="AS64" s="553"/>
      <c r="AT64" s="553"/>
      <c r="AU64" s="553"/>
      <c r="AV64" s="553"/>
      <c r="AW64" s="4"/>
      <c r="AX64" s="4"/>
      <c r="AY64" s="4"/>
      <c r="AZ64" s="4"/>
      <c r="BA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row>
    <row r="65" spans="1:119" s="154" customFormat="1" ht="409.6">
      <c r="A65" s="49" t="s">
        <v>172</v>
      </c>
      <c r="B65" s="49" t="s">
        <v>112</v>
      </c>
      <c r="C65" s="50" t="s">
        <v>276</v>
      </c>
      <c r="D65" s="49" t="s">
        <v>126</v>
      </c>
      <c r="E65" s="49" t="s">
        <v>178</v>
      </c>
      <c r="F65" s="51">
        <v>2024130010130</v>
      </c>
      <c r="G65" s="49" t="s">
        <v>192</v>
      </c>
      <c r="H65" s="49" t="s">
        <v>215</v>
      </c>
      <c r="I65" s="49" t="s">
        <v>155</v>
      </c>
      <c r="J65" s="169">
        <v>5905</v>
      </c>
      <c r="K65" s="210">
        <v>0.4</v>
      </c>
      <c r="L65" s="53" t="s">
        <v>604</v>
      </c>
      <c r="M65" s="208" t="s">
        <v>547</v>
      </c>
      <c r="N65" s="53" t="s">
        <v>551</v>
      </c>
      <c r="O65" s="53">
        <v>6762</v>
      </c>
      <c r="P65" s="211">
        <v>6700</v>
      </c>
      <c r="Q65" s="52">
        <v>1239</v>
      </c>
      <c r="R65" s="52"/>
      <c r="S65" s="186">
        <v>45660</v>
      </c>
      <c r="T65" s="186">
        <v>46022</v>
      </c>
      <c r="U65" s="187">
        <f t="shared" si="0"/>
        <v>362</v>
      </c>
      <c r="V65" s="49">
        <v>6700</v>
      </c>
      <c r="W65" s="53" t="s">
        <v>267</v>
      </c>
      <c r="X65" s="52" t="s">
        <v>275</v>
      </c>
      <c r="Y65" s="53" t="s">
        <v>302</v>
      </c>
      <c r="Z65" s="52" t="s">
        <v>303</v>
      </c>
      <c r="AA65" s="54" t="s">
        <v>266</v>
      </c>
      <c r="AB65" s="63" t="s">
        <v>511</v>
      </c>
      <c r="AC65" s="121">
        <v>700000000</v>
      </c>
      <c r="AD65" s="52" t="s">
        <v>47</v>
      </c>
      <c r="AE65" s="52" t="s">
        <v>41</v>
      </c>
      <c r="AF65" s="52"/>
      <c r="AG65" s="52"/>
      <c r="AH65" s="547"/>
      <c r="AI65" s="547"/>
      <c r="AJ65" s="52"/>
      <c r="AK65" s="52"/>
      <c r="AL65" s="52"/>
      <c r="AM65" s="550"/>
      <c r="AN65" s="53" t="s">
        <v>178</v>
      </c>
      <c r="AO65" s="107" t="s">
        <v>660</v>
      </c>
      <c r="AP65" s="553"/>
      <c r="AQ65" s="553"/>
      <c r="AR65" s="556"/>
      <c r="AS65" s="553"/>
      <c r="AT65" s="553"/>
      <c r="AU65" s="553"/>
      <c r="AV65" s="553"/>
      <c r="AW65" s="4"/>
      <c r="AX65" s="4"/>
      <c r="AY65" s="4"/>
      <c r="AZ65" s="4"/>
      <c r="BA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row>
    <row r="66" spans="1:119" s="154" customFormat="1" ht="409.6">
      <c r="A66" s="49" t="s">
        <v>172</v>
      </c>
      <c r="B66" s="49" t="s">
        <v>112</v>
      </c>
      <c r="C66" s="50" t="s">
        <v>276</v>
      </c>
      <c r="D66" s="49" t="s">
        <v>126</v>
      </c>
      <c r="E66" s="49" t="s">
        <v>178</v>
      </c>
      <c r="F66" s="51">
        <v>2024130010130</v>
      </c>
      <c r="G66" s="49" t="s">
        <v>192</v>
      </c>
      <c r="H66" s="49" t="s">
        <v>215</v>
      </c>
      <c r="I66" s="49" t="s">
        <v>155</v>
      </c>
      <c r="J66" s="169">
        <v>5905</v>
      </c>
      <c r="K66" s="210">
        <v>0.4</v>
      </c>
      <c r="L66" s="53" t="s">
        <v>604</v>
      </c>
      <c r="M66" s="208" t="s">
        <v>547</v>
      </c>
      <c r="N66" s="53" t="s">
        <v>551</v>
      </c>
      <c r="O66" s="53">
        <v>6762</v>
      </c>
      <c r="P66" s="211">
        <v>6700</v>
      </c>
      <c r="Q66" s="52">
        <v>1239</v>
      </c>
      <c r="R66" s="52"/>
      <c r="S66" s="186">
        <v>45660</v>
      </c>
      <c r="T66" s="186">
        <v>46022</v>
      </c>
      <c r="U66" s="187">
        <f t="shared" si="0"/>
        <v>362</v>
      </c>
      <c r="V66" s="49">
        <v>6700</v>
      </c>
      <c r="W66" s="53" t="s">
        <v>267</v>
      </c>
      <c r="X66" s="52" t="s">
        <v>275</v>
      </c>
      <c r="Y66" s="53" t="s">
        <v>302</v>
      </c>
      <c r="Z66" s="52" t="s">
        <v>303</v>
      </c>
      <c r="AA66" s="54" t="s">
        <v>266</v>
      </c>
      <c r="AB66" s="63" t="s">
        <v>603</v>
      </c>
      <c r="AC66" s="121">
        <v>905700000</v>
      </c>
      <c r="AD66" s="52" t="s">
        <v>42</v>
      </c>
      <c r="AE66" s="52" t="s">
        <v>41</v>
      </c>
      <c r="AF66" s="52"/>
      <c r="AG66" s="52"/>
      <c r="AH66" s="547"/>
      <c r="AI66" s="547"/>
      <c r="AJ66" s="52"/>
      <c r="AK66" s="52"/>
      <c r="AL66" s="52"/>
      <c r="AM66" s="550"/>
      <c r="AN66" s="53" t="s">
        <v>178</v>
      </c>
      <c r="AO66" s="107" t="s">
        <v>660</v>
      </c>
      <c r="AP66" s="553"/>
      <c r="AQ66" s="553"/>
      <c r="AR66" s="556"/>
      <c r="AS66" s="553"/>
      <c r="AT66" s="553"/>
      <c r="AU66" s="553"/>
      <c r="AV66" s="553"/>
      <c r="AW66" s="4"/>
      <c r="AX66" s="4"/>
      <c r="AY66" s="4"/>
      <c r="AZ66" s="4"/>
      <c r="BA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row>
    <row r="67" spans="1:119" s="154" customFormat="1" ht="409.6">
      <c r="A67" s="49" t="s">
        <v>172</v>
      </c>
      <c r="B67" s="49" t="s">
        <v>112</v>
      </c>
      <c r="C67" s="50" t="s">
        <v>276</v>
      </c>
      <c r="D67" s="49" t="s">
        <v>126</v>
      </c>
      <c r="E67" s="49" t="s">
        <v>178</v>
      </c>
      <c r="F67" s="51">
        <v>2024130010130</v>
      </c>
      <c r="G67" s="49" t="s">
        <v>192</v>
      </c>
      <c r="H67" s="49" t="s">
        <v>215</v>
      </c>
      <c r="I67" s="49" t="s">
        <v>155</v>
      </c>
      <c r="J67" s="169">
        <v>5095</v>
      </c>
      <c r="K67" s="210">
        <v>0.4</v>
      </c>
      <c r="L67" s="63" t="s">
        <v>605</v>
      </c>
      <c r="M67" s="208" t="s">
        <v>547</v>
      </c>
      <c r="N67" s="53" t="s">
        <v>720</v>
      </c>
      <c r="O67" s="53">
        <v>6762</v>
      </c>
      <c r="P67" s="211">
        <v>6700</v>
      </c>
      <c r="Q67" s="52">
        <v>1239</v>
      </c>
      <c r="R67" s="52"/>
      <c r="S67" s="186">
        <v>45660</v>
      </c>
      <c r="T67" s="186">
        <v>46022</v>
      </c>
      <c r="U67" s="187">
        <f t="shared" si="0"/>
        <v>362</v>
      </c>
      <c r="V67" s="49">
        <v>6700</v>
      </c>
      <c r="W67" s="53" t="s">
        <v>267</v>
      </c>
      <c r="X67" s="52" t="s">
        <v>275</v>
      </c>
      <c r="Y67" s="53" t="s">
        <v>304</v>
      </c>
      <c r="Z67" s="53" t="s">
        <v>305</v>
      </c>
      <c r="AA67" s="54" t="s">
        <v>266</v>
      </c>
      <c r="AB67" s="63" t="s">
        <v>511</v>
      </c>
      <c r="AC67" s="121">
        <v>250000000</v>
      </c>
      <c r="AD67" s="52" t="s">
        <v>47</v>
      </c>
      <c r="AE67" s="52" t="s">
        <v>41</v>
      </c>
      <c r="AF67" s="52"/>
      <c r="AG67" s="52"/>
      <c r="AH67" s="547"/>
      <c r="AI67" s="547"/>
      <c r="AJ67" s="52"/>
      <c r="AK67" s="52"/>
      <c r="AL67" s="52"/>
      <c r="AM67" s="550"/>
      <c r="AN67" s="53" t="s">
        <v>178</v>
      </c>
      <c r="AO67" s="107" t="s">
        <v>660</v>
      </c>
      <c r="AP67" s="553"/>
      <c r="AQ67" s="553"/>
      <c r="AR67" s="556"/>
      <c r="AS67" s="553"/>
      <c r="AT67" s="553"/>
      <c r="AU67" s="553"/>
      <c r="AV67" s="553"/>
      <c r="AW67" s="4"/>
      <c r="AX67" s="4"/>
      <c r="AY67" s="4"/>
      <c r="AZ67" s="4"/>
      <c r="BA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row>
    <row r="68" spans="1:119" s="154" customFormat="1" ht="409.6">
      <c r="A68" s="49" t="s">
        <v>172</v>
      </c>
      <c r="B68" s="49" t="s">
        <v>112</v>
      </c>
      <c r="C68" s="50" t="s">
        <v>276</v>
      </c>
      <c r="D68" s="49" t="s">
        <v>126</v>
      </c>
      <c r="E68" s="49" t="s">
        <v>178</v>
      </c>
      <c r="F68" s="51">
        <v>2024130010130</v>
      </c>
      <c r="G68" s="49" t="s">
        <v>192</v>
      </c>
      <c r="H68" s="49" t="s">
        <v>215</v>
      </c>
      <c r="I68" s="49" t="s">
        <v>155</v>
      </c>
      <c r="J68" s="169">
        <v>5095</v>
      </c>
      <c r="K68" s="210">
        <v>0.4</v>
      </c>
      <c r="L68" s="53" t="s">
        <v>605</v>
      </c>
      <c r="M68" s="208" t="s">
        <v>547</v>
      </c>
      <c r="N68" s="53" t="s">
        <v>551</v>
      </c>
      <c r="O68" s="53">
        <v>6762</v>
      </c>
      <c r="P68" s="211">
        <v>6700</v>
      </c>
      <c r="Q68" s="52">
        <v>1239</v>
      </c>
      <c r="R68" s="52"/>
      <c r="S68" s="186">
        <v>45660</v>
      </c>
      <c r="T68" s="186">
        <v>46022</v>
      </c>
      <c r="U68" s="187">
        <f t="shared" si="0"/>
        <v>362</v>
      </c>
      <c r="V68" s="49">
        <v>6700</v>
      </c>
      <c r="W68" s="53" t="s">
        <v>267</v>
      </c>
      <c r="X68" s="52" t="s">
        <v>275</v>
      </c>
      <c r="Y68" s="53" t="s">
        <v>306</v>
      </c>
      <c r="Z68" s="62" t="s">
        <v>307</v>
      </c>
      <c r="AA68" s="54" t="s">
        <v>266</v>
      </c>
      <c r="AB68" s="63" t="s">
        <v>516</v>
      </c>
      <c r="AC68" s="121">
        <v>40000000</v>
      </c>
      <c r="AD68" s="53" t="s">
        <v>44</v>
      </c>
      <c r="AE68" s="52" t="s">
        <v>41</v>
      </c>
      <c r="AF68" s="52"/>
      <c r="AG68" s="52"/>
      <c r="AH68" s="547"/>
      <c r="AI68" s="547"/>
      <c r="AJ68" s="52"/>
      <c r="AK68" s="52"/>
      <c r="AL68" s="52"/>
      <c r="AM68" s="550"/>
      <c r="AN68" s="53" t="s">
        <v>178</v>
      </c>
      <c r="AO68" s="107" t="s">
        <v>660</v>
      </c>
      <c r="AP68" s="553"/>
      <c r="AQ68" s="553"/>
      <c r="AR68" s="556"/>
      <c r="AS68" s="553"/>
      <c r="AT68" s="553"/>
      <c r="AU68" s="553"/>
      <c r="AV68" s="553"/>
      <c r="AW68" s="4"/>
      <c r="AX68" s="4"/>
      <c r="AY68" s="4"/>
      <c r="AZ68" s="4"/>
      <c r="BA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row>
    <row r="69" spans="1:119" s="154" customFormat="1" ht="409.6">
      <c r="A69" s="49" t="s">
        <v>172</v>
      </c>
      <c r="B69" s="49" t="s">
        <v>112</v>
      </c>
      <c r="C69" s="50" t="s">
        <v>276</v>
      </c>
      <c r="D69" s="49" t="s">
        <v>127</v>
      </c>
      <c r="E69" s="49" t="s">
        <v>178</v>
      </c>
      <c r="F69" s="51">
        <v>2024130010130</v>
      </c>
      <c r="G69" s="49" t="s">
        <v>192</v>
      </c>
      <c r="H69" s="49" t="s">
        <v>200</v>
      </c>
      <c r="I69" s="53" t="s">
        <v>328</v>
      </c>
      <c r="J69" s="181">
        <v>55</v>
      </c>
      <c r="K69" s="210">
        <v>0.1</v>
      </c>
      <c r="L69" s="53" t="s">
        <v>606</v>
      </c>
      <c r="M69" s="208" t="s">
        <v>547</v>
      </c>
      <c r="N69" s="53" t="s">
        <v>608</v>
      </c>
      <c r="O69" s="53">
        <v>55</v>
      </c>
      <c r="P69" s="211">
        <v>2</v>
      </c>
      <c r="Q69" s="52">
        <v>51</v>
      </c>
      <c r="R69" s="52"/>
      <c r="S69" s="186">
        <v>45660</v>
      </c>
      <c r="T69" s="186">
        <v>46022</v>
      </c>
      <c r="U69" s="187">
        <f t="shared" si="0"/>
        <v>362</v>
      </c>
      <c r="V69" s="52" t="s">
        <v>265</v>
      </c>
      <c r="W69" s="53" t="s">
        <v>267</v>
      </c>
      <c r="X69" s="52" t="s">
        <v>275</v>
      </c>
      <c r="Y69" s="49" t="s">
        <v>329</v>
      </c>
      <c r="Z69" s="53" t="s">
        <v>330</v>
      </c>
      <c r="AA69" s="54" t="s">
        <v>266</v>
      </c>
      <c r="AB69" s="63" t="s">
        <v>511</v>
      </c>
      <c r="AC69" s="121">
        <v>150000000</v>
      </c>
      <c r="AD69" s="52" t="s">
        <v>47</v>
      </c>
      <c r="AE69" s="52" t="s">
        <v>41</v>
      </c>
      <c r="AF69" s="52"/>
      <c r="AG69" s="52"/>
      <c r="AH69" s="547"/>
      <c r="AI69" s="547"/>
      <c r="AJ69" s="52"/>
      <c r="AK69" s="52"/>
      <c r="AL69" s="52"/>
      <c r="AM69" s="550"/>
      <c r="AN69" s="53" t="s">
        <v>178</v>
      </c>
      <c r="AO69" s="107" t="s">
        <v>661</v>
      </c>
      <c r="AP69" s="553"/>
      <c r="AQ69" s="553"/>
      <c r="AR69" s="556"/>
      <c r="AS69" s="553"/>
      <c r="AT69" s="553"/>
      <c r="AU69" s="553"/>
      <c r="AV69" s="553"/>
      <c r="AW69" s="4"/>
      <c r="AX69" s="4"/>
      <c r="AY69" s="4"/>
      <c r="AZ69" s="4"/>
      <c r="BA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row>
    <row r="70" spans="1:119" s="154" customFormat="1" ht="409.6">
      <c r="A70" s="49" t="s">
        <v>172</v>
      </c>
      <c r="B70" s="49" t="s">
        <v>112</v>
      </c>
      <c r="C70" s="50" t="s">
        <v>276</v>
      </c>
      <c r="D70" s="49" t="s">
        <v>127</v>
      </c>
      <c r="E70" s="49" t="s">
        <v>178</v>
      </c>
      <c r="F70" s="51">
        <v>2024130010130</v>
      </c>
      <c r="G70" s="49" t="s">
        <v>192</v>
      </c>
      <c r="H70" s="49" t="s">
        <v>200</v>
      </c>
      <c r="I70" s="53" t="s">
        <v>328</v>
      </c>
      <c r="J70" s="181">
        <v>55</v>
      </c>
      <c r="K70" s="210">
        <v>0.1</v>
      </c>
      <c r="L70" s="49" t="s">
        <v>606</v>
      </c>
      <c r="M70" s="208" t="s">
        <v>547</v>
      </c>
      <c r="N70" s="53" t="s">
        <v>608</v>
      </c>
      <c r="O70" s="53">
        <v>55</v>
      </c>
      <c r="P70" s="211">
        <v>2</v>
      </c>
      <c r="Q70" s="52">
        <v>51</v>
      </c>
      <c r="R70" s="52"/>
      <c r="S70" s="186">
        <v>45660</v>
      </c>
      <c r="T70" s="186">
        <v>46022</v>
      </c>
      <c r="U70" s="187">
        <f t="shared" si="0"/>
        <v>362</v>
      </c>
      <c r="V70" s="52" t="s">
        <v>265</v>
      </c>
      <c r="W70" s="53" t="s">
        <v>267</v>
      </c>
      <c r="X70" s="52" t="s">
        <v>275</v>
      </c>
      <c r="Y70" s="53" t="s">
        <v>308</v>
      </c>
      <c r="Z70" s="53" t="s">
        <v>309</v>
      </c>
      <c r="AA70" s="54" t="s">
        <v>266</v>
      </c>
      <c r="AB70" s="63" t="s">
        <v>610</v>
      </c>
      <c r="AC70" s="121">
        <v>131275119</v>
      </c>
      <c r="AD70" s="53" t="s">
        <v>45</v>
      </c>
      <c r="AE70" s="52" t="s">
        <v>41</v>
      </c>
      <c r="AF70" s="52"/>
      <c r="AG70" s="52"/>
      <c r="AH70" s="547"/>
      <c r="AI70" s="547"/>
      <c r="AJ70" s="52"/>
      <c r="AK70" s="52"/>
      <c r="AL70" s="52"/>
      <c r="AM70" s="550"/>
      <c r="AN70" s="53" t="s">
        <v>178</v>
      </c>
      <c r="AO70" s="107" t="s">
        <v>661</v>
      </c>
      <c r="AP70" s="553"/>
      <c r="AQ70" s="553"/>
      <c r="AR70" s="556"/>
      <c r="AS70" s="553"/>
      <c r="AT70" s="553"/>
      <c r="AU70" s="553"/>
      <c r="AV70" s="553"/>
      <c r="AW70" s="4"/>
      <c r="AX70" s="4"/>
      <c r="AY70" s="4"/>
      <c r="AZ70" s="4"/>
      <c r="BA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row>
    <row r="71" spans="1:119" s="154" customFormat="1" ht="409.6">
      <c r="A71" s="49" t="s">
        <v>172</v>
      </c>
      <c r="B71" s="49" t="s">
        <v>112</v>
      </c>
      <c r="C71" s="50" t="s">
        <v>276</v>
      </c>
      <c r="D71" s="49" t="s">
        <v>127</v>
      </c>
      <c r="E71" s="49" t="s">
        <v>178</v>
      </c>
      <c r="F71" s="51">
        <v>2024130010130</v>
      </c>
      <c r="G71" s="49" t="s">
        <v>192</v>
      </c>
      <c r="H71" s="49" t="s">
        <v>200</v>
      </c>
      <c r="I71" s="53" t="s">
        <v>328</v>
      </c>
      <c r="J71" s="181">
        <v>55</v>
      </c>
      <c r="K71" s="210">
        <v>0.1</v>
      </c>
      <c r="L71" s="49" t="s">
        <v>607</v>
      </c>
      <c r="M71" s="208" t="s">
        <v>547</v>
      </c>
      <c r="N71" s="53" t="s">
        <v>609</v>
      </c>
      <c r="O71" s="53">
        <v>55</v>
      </c>
      <c r="P71" s="211">
        <v>2</v>
      </c>
      <c r="Q71" s="52">
        <v>51</v>
      </c>
      <c r="R71" s="52"/>
      <c r="S71" s="186">
        <v>45660</v>
      </c>
      <c r="T71" s="186">
        <v>46022</v>
      </c>
      <c r="U71" s="187">
        <f t="shared" si="0"/>
        <v>362</v>
      </c>
      <c r="V71" s="52" t="s">
        <v>265</v>
      </c>
      <c r="W71" s="53" t="s">
        <v>267</v>
      </c>
      <c r="X71" s="52" t="s">
        <v>275</v>
      </c>
      <c r="Y71" s="53" t="s">
        <v>308</v>
      </c>
      <c r="Z71" s="53" t="s">
        <v>309</v>
      </c>
      <c r="AA71" s="54" t="s">
        <v>266</v>
      </c>
      <c r="AB71" s="63" t="s">
        <v>511</v>
      </c>
      <c r="AC71" s="121">
        <v>150000000</v>
      </c>
      <c r="AD71" s="53" t="s">
        <v>47</v>
      </c>
      <c r="AE71" s="52" t="s">
        <v>41</v>
      </c>
      <c r="AF71" s="52"/>
      <c r="AG71" s="52"/>
      <c r="AH71" s="547"/>
      <c r="AI71" s="547"/>
      <c r="AJ71" s="52"/>
      <c r="AK71" s="52"/>
      <c r="AL71" s="52"/>
      <c r="AM71" s="550"/>
      <c r="AN71" s="53" t="s">
        <v>178</v>
      </c>
      <c r="AO71" s="107" t="s">
        <v>661</v>
      </c>
      <c r="AP71" s="553"/>
      <c r="AQ71" s="553"/>
      <c r="AR71" s="556"/>
      <c r="AS71" s="553"/>
      <c r="AT71" s="553"/>
      <c r="AU71" s="553"/>
      <c r="AV71" s="553"/>
      <c r="AW71" s="4"/>
      <c r="AX71" s="4"/>
      <c r="AY71" s="4"/>
      <c r="AZ71" s="4"/>
      <c r="BA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row>
    <row r="72" spans="1:119" s="154" customFormat="1" ht="409.6">
      <c r="A72" s="49" t="s">
        <v>172</v>
      </c>
      <c r="B72" s="49" t="s">
        <v>112</v>
      </c>
      <c r="C72" s="50" t="s">
        <v>276</v>
      </c>
      <c r="D72" s="49" t="s">
        <v>127</v>
      </c>
      <c r="E72" s="49" t="s">
        <v>178</v>
      </c>
      <c r="F72" s="51">
        <v>2024130010130</v>
      </c>
      <c r="G72" s="49" t="s">
        <v>192</v>
      </c>
      <c r="H72" s="49" t="s">
        <v>200</v>
      </c>
      <c r="I72" s="53" t="s">
        <v>328</v>
      </c>
      <c r="J72" s="181">
        <v>55</v>
      </c>
      <c r="K72" s="210">
        <v>0.1</v>
      </c>
      <c r="L72" s="49" t="s">
        <v>607</v>
      </c>
      <c r="M72" s="208" t="s">
        <v>547</v>
      </c>
      <c r="N72" s="53" t="s">
        <v>609</v>
      </c>
      <c r="O72" s="53">
        <v>55</v>
      </c>
      <c r="P72" s="211">
        <v>2</v>
      </c>
      <c r="Q72" s="52">
        <v>51</v>
      </c>
      <c r="R72" s="52"/>
      <c r="S72" s="186">
        <v>45660</v>
      </c>
      <c r="T72" s="186">
        <v>46022</v>
      </c>
      <c r="U72" s="187">
        <f t="shared" si="0"/>
        <v>362</v>
      </c>
      <c r="V72" s="52" t="s">
        <v>265</v>
      </c>
      <c r="W72" s="53" t="s">
        <v>267</v>
      </c>
      <c r="X72" s="52" t="s">
        <v>275</v>
      </c>
      <c r="Y72" s="53" t="s">
        <v>308</v>
      </c>
      <c r="Z72" s="53" t="s">
        <v>309</v>
      </c>
      <c r="AA72" s="54" t="s">
        <v>266</v>
      </c>
      <c r="AB72" s="63" t="s">
        <v>611</v>
      </c>
      <c r="AC72" s="121">
        <v>150000000</v>
      </c>
      <c r="AD72" s="53" t="s">
        <v>45</v>
      </c>
      <c r="AE72" s="52" t="s">
        <v>41</v>
      </c>
      <c r="AF72" s="52"/>
      <c r="AG72" s="52"/>
      <c r="AH72" s="548"/>
      <c r="AI72" s="548"/>
      <c r="AJ72" s="52"/>
      <c r="AK72" s="52"/>
      <c r="AL72" s="52"/>
      <c r="AM72" s="551"/>
      <c r="AN72" s="53" t="s">
        <v>178</v>
      </c>
      <c r="AO72" s="107" t="s">
        <v>661</v>
      </c>
      <c r="AP72" s="554"/>
      <c r="AQ72" s="554"/>
      <c r="AR72" s="557"/>
      <c r="AS72" s="554"/>
      <c r="AT72" s="554"/>
      <c r="AU72" s="554"/>
      <c r="AV72" s="554"/>
      <c r="AW72" s="4"/>
      <c r="AX72" s="4"/>
      <c r="AY72" s="4"/>
      <c r="AZ72" s="4"/>
      <c r="BA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row>
    <row r="73" spans="1:119" s="154" customFormat="1" ht="45" customHeight="1">
      <c r="A73" s="49"/>
      <c r="B73" s="49"/>
      <c r="C73" s="50"/>
      <c r="D73" s="49"/>
      <c r="E73" s="513" t="s">
        <v>692</v>
      </c>
      <c r="F73" s="514"/>
      <c r="G73" s="514"/>
      <c r="H73" s="514"/>
      <c r="I73" s="514"/>
      <c r="J73" s="514"/>
      <c r="K73" s="514"/>
      <c r="L73" s="514"/>
      <c r="M73" s="514"/>
      <c r="N73" s="514"/>
      <c r="O73" s="514"/>
      <c r="P73" s="514"/>
      <c r="Q73" s="515"/>
      <c r="R73" s="330">
        <f>AVERAGE(R61:R72)</f>
        <v>0.18492537313432836</v>
      </c>
      <c r="S73" s="186"/>
      <c r="T73" s="186"/>
      <c r="U73" s="187"/>
      <c r="V73" s="52"/>
      <c r="W73" s="53"/>
      <c r="X73" s="52"/>
      <c r="Y73" s="53"/>
      <c r="Z73" s="53"/>
      <c r="AA73" s="54"/>
      <c r="AB73" s="63"/>
      <c r="AC73" s="121"/>
      <c r="AD73" s="53"/>
      <c r="AE73" s="52"/>
      <c r="AF73" s="52"/>
      <c r="AG73" s="52"/>
      <c r="AH73" s="283"/>
      <c r="AI73" s="283"/>
      <c r="AJ73" s="52"/>
      <c r="AK73" s="52"/>
      <c r="AL73" s="52"/>
      <c r="AM73" s="284"/>
      <c r="AN73" s="53"/>
      <c r="AO73" s="318" t="s">
        <v>689</v>
      </c>
      <c r="AP73" s="303">
        <f>SUM(AP61)</f>
        <v>8250277366.1000004</v>
      </c>
      <c r="AQ73" s="303">
        <f>SUM(AQ61)</f>
        <v>1158543000</v>
      </c>
      <c r="AR73" s="331">
        <f>SUM(AR61)</f>
        <v>0.1404</v>
      </c>
      <c r="AS73" s="303">
        <f>SUM(AS61)</f>
        <v>0</v>
      </c>
      <c r="AT73" s="303">
        <f>SUM(AT61)</f>
        <v>0</v>
      </c>
      <c r="AU73" s="332">
        <v>0</v>
      </c>
      <c r="AV73" s="332">
        <v>0</v>
      </c>
      <c r="AW73" s="4"/>
      <c r="AX73" s="4"/>
      <c r="AY73" s="4"/>
      <c r="AZ73" s="4"/>
      <c r="BA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row>
    <row r="74" spans="1:119" s="155" customFormat="1" ht="409.6">
      <c r="A74" s="55" t="s">
        <v>172</v>
      </c>
      <c r="B74" s="55" t="s">
        <v>112</v>
      </c>
      <c r="C74" s="56" t="s">
        <v>276</v>
      </c>
      <c r="D74" s="55" t="s">
        <v>128</v>
      </c>
      <c r="E74" s="55" t="s">
        <v>179</v>
      </c>
      <c r="F74" s="57">
        <v>2024130010136</v>
      </c>
      <c r="G74" s="55" t="s">
        <v>238</v>
      </c>
      <c r="H74" s="55" t="s">
        <v>239</v>
      </c>
      <c r="I74" s="55" t="s">
        <v>157</v>
      </c>
      <c r="J74" s="170">
        <v>0</v>
      </c>
      <c r="K74" s="210">
        <v>0.15</v>
      </c>
      <c r="L74" s="123" t="s">
        <v>240</v>
      </c>
      <c r="M74" s="58" t="s">
        <v>547</v>
      </c>
      <c r="N74" s="58" t="s">
        <v>721</v>
      </c>
      <c r="O74" s="58" t="s">
        <v>414</v>
      </c>
      <c r="P74" s="211">
        <v>2</v>
      </c>
      <c r="Q74" s="59">
        <v>0</v>
      </c>
      <c r="R74" s="333">
        <v>0</v>
      </c>
      <c r="S74" s="186">
        <v>45660</v>
      </c>
      <c r="T74" s="186">
        <v>46022</v>
      </c>
      <c r="U74" s="187">
        <f t="shared" si="0"/>
        <v>362</v>
      </c>
      <c r="V74" s="59" t="s">
        <v>265</v>
      </c>
      <c r="W74" s="58" t="s">
        <v>267</v>
      </c>
      <c r="X74" s="59" t="s">
        <v>275</v>
      </c>
      <c r="Y74" s="60" t="s">
        <v>310</v>
      </c>
      <c r="Z74" s="182" t="s">
        <v>311</v>
      </c>
      <c r="AA74" s="61" t="s">
        <v>266</v>
      </c>
      <c r="AB74" s="123" t="s">
        <v>511</v>
      </c>
      <c r="AC74" s="124">
        <v>31000000</v>
      </c>
      <c r="AD74" s="59" t="s">
        <v>47</v>
      </c>
      <c r="AE74" s="59" t="s">
        <v>41</v>
      </c>
      <c r="AF74" s="59"/>
      <c r="AG74" s="59"/>
      <c r="AH74" s="566">
        <v>565956339</v>
      </c>
      <c r="AI74" s="566"/>
      <c r="AJ74" s="59"/>
      <c r="AK74" s="59"/>
      <c r="AL74" s="59"/>
      <c r="AM74" s="569" t="s">
        <v>564</v>
      </c>
      <c r="AN74" s="58" t="s">
        <v>179</v>
      </c>
      <c r="AO74" s="108" t="s">
        <v>662</v>
      </c>
      <c r="AP74" s="561">
        <v>565956339</v>
      </c>
      <c r="AQ74" s="561">
        <v>60165000</v>
      </c>
      <c r="AR74" s="558">
        <v>0.10630000000000001</v>
      </c>
      <c r="AS74" s="561">
        <v>0</v>
      </c>
      <c r="AT74" s="561">
        <v>0</v>
      </c>
      <c r="AU74" s="564">
        <v>0</v>
      </c>
      <c r="AV74" s="564">
        <v>0</v>
      </c>
      <c r="AW74" s="4"/>
      <c r="AX74" s="4"/>
      <c r="AY74" s="4"/>
      <c r="AZ74" s="4"/>
      <c r="BA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row>
    <row r="75" spans="1:119" s="155" customFormat="1" ht="69">
      <c r="A75" s="55" t="s">
        <v>172</v>
      </c>
      <c r="B75" s="55" t="s">
        <v>112</v>
      </c>
      <c r="C75" s="56" t="s">
        <v>276</v>
      </c>
      <c r="D75" s="55" t="s">
        <v>128</v>
      </c>
      <c r="E75" s="55" t="s">
        <v>179</v>
      </c>
      <c r="F75" s="57">
        <v>2024130010136</v>
      </c>
      <c r="G75" s="55" t="s">
        <v>238</v>
      </c>
      <c r="H75" s="55" t="s">
        <v>239</v>
      </c>
      <c r="I75" s="55" t="s">
        <v>157</v>
      </c>
      <c r="J75" s="170">
        <v>0</v>
      </c>
      <c r="K75" s="210">
        <v>0.15</v>
      </c>
      <c r="L75" s="58" t="s">
        <v>241</v>
      </c>
      <c r="M75" s="58"/>
      <c r="N75" s="58" t="s">
        <v>722</v>
      </c>
      <c r="O75" s="58">
        <v>140</v>
      </c>
      <c r="P75" s="211">
        <v>10</v>
      </c>
      <c r="Q75" s="59">
        <v>0</v>
      </c>
      <c r="R75" s="333">
        <v>0</v>
      </c>
      <c r="S75" s="186">
        <v>45660</v>
      </c>
      <c r="T75" s="186">
        <v>46022</v>
      </c>
      <c r="U75" s="187">
        <f t="shared" ref="U75:U138" si="3">+T75-S75</f>
        <v>362</v>
      </c>
      <c r="V75" s="59" t="s">
        <v>265</v>
      </c>
      <c r="W75" s="58" t="s">
        <v>267</v>
      </c>
      <c r="X75" s="59" t="s">
        <v>275</v>
      </c>
      <c r="Y75" s="58" t="s">
        <v>300</v>
      </c>
      <c r="Z75" s="58" t="s">
        <v>301</v>
      </c>
      <c r="AA75" s="61" t="s">
        <v>266</v>
      </c>
      <c r="AB75" s="123" t="s">
        <v>511</v>
      </c>
      <c r="AC75" s="124">
        <v>31000000</v>
      </c>
      <c r="AD75" s="59" t="s">
        <v>47</v>
      </c>
      <c r="AE75" s="59" t="s">
        <v>41</v>
      </c>
      <c r="AF75" s="59"/>
      <c r="AG75" s="59"/>
      <c r="AH75" s="567"/>
      <c r="AI75" s="567"/>
      <c r="AJ75" s="59"/>
      <c r="AK75" s="59"/>
      <c r="AL75" s="59"/>
      <c r="AM75" s="570"/>
      <c r="AN75" s="58" t="s">
        <v>179</v>
      </c>
      <c r="AO75" s="108" t="s">
        <v>662</v>
      </c>
      <c r="AP75" s="562"/>
      <c r="AQ75" s="562"/>
      <c r="AR75" s="559"/>
      <c r="AS75" s="562"/>
      <c r="AT75" s="562"/>
      <c r="AU75" s="562"/>
      <c r="AV75" s="562"/>
      <c r="AW75" s="4"/>
      <c r="AX75" s="4"/>
      <c r="AY75" s="4"/>
      <c r="AZ75" s="4"/>
      <c r="BA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row>
    <row r="76" spans="1:119" s="155" customFormat="1" ht="69">
      <c r="A76" s="55" t="s">
        <v>172</v>
      </c>
      <c r="B76" s="55" t="s">
        <v>112</v>
      </c>
      <c r="C76" s="56" t="s">
        <v>276</v>
      </c>
      <c r="D76" s="55" t="s">
        <v>128</v>
      </c>
      <c r="E76" s="55" t="s">
        <v>179</v>
      </c>
      <c r="F76" s="57">
        <v>2024130010136</v>
      </c>
      <c r="G76" s="55" t="s">
        <v>238</v>
      </c>
      <c r="H76" s="55" t="s">
        <v>239</v>
      </c>
      <c r="I76" s="55" t="s">
        <v>157</v>
      </c>
      <c r="J76" s="170">
        <v>0</v>
      </c>
      <c r="K76" s="210">
        <v>0.15</v>
      </c>
      <c r="L76" s="58" t="s">
        <v>241</v>
      </c>
      <c r="M76" s="58"/>
      <c r="N76" s="58" t="s">
        <v>722</v>
      </c>
      <c r="O76" s="58">
        <v>140</v>
      </c>
      <c r="P76" s="211">
        <v>10</v>
      </c>
      <c r="Q76" s="59">
        <v>0</v>
      </c>
      <c r="R76" s="333">
        <v>0</v>
      </c>
      <c r="S76" s="186">
        <v>45660</v>
      </c>
      <c r="T76" s="186">
        <v>46022</v>
      </c>
      <c r="U76" s="187">
        <f t="shared" si="3"/>
        <v>362</v>
      </c>
      <c r="V76" s="59" t="s">
        <v>265</v>
      </c>
      <c r="W76" s="58" t="s">
        <v>267</v>
      </c>
      <c r="X76" s="59" t="s">
        <v>275</v>
      </c>
      <c r="Y76" s="58" t="s">
        <v>300</v>
      </c>
      <c r="Z76" s="58" t="s">
        <v>301</v>
      </c>
      <c r="AA76" s="61" t="s">
        <v>266</v>
      </c>
      <c r="AB76" s="123" t="s">
        <v>600</v>
      </c>
      <c r="AC76" s="124">
        <v>5000000</v>
      </c>
      <c r="AD76" s="58" t="s">
        <v>48</v>
      </c>
      <c r="AE76" s="59" t="s">
        <v>41</v>
      </c>
      <c r="AF76" s="59"/>
      <c r="AG76" s="59"/>
      <c r="AH76" s="567"/>
      <c r="AI76" s="567"/>
      <c r="AJ76" s="59"/>
      <c r="AK76" s="59"/>
      <c r="AL76" s="59"/>
      <c r="AM76" s="570"/>
      <c r="AN76" s="58"/>
      <c r="AO76" s="108" t="s">
        <v>662</v>
      </c>
      <c r="AP76" s="562"/>
      <c r="AQ76" s="562"/>
      <c r="AR76" s="559"/>
      <c r="AS76" s="562"/>
      <c r="AT76" s="562"/>
      <c r="AU76" s="562"/>
      <c r="AV76" s="562"/>
      <c r="AW76" s="4"/>
      <c r="AX76" s="4"/>
      <c r="AY76" s="4"/>
      <c r="AZ76" s="4"/>
      <c r="BA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row>
    <row r="77" spans="1:119" s="155" customFormat="1" ht="69">
      <c r="A77" s="55" t="s">
        <v>172</v>
      </c>
      <c r="B77" s="55" t="s">
        <v>112</v>
      </c>
      <c r="C77" s="56" t="s">
        <v>276</v>
      </c>
      <c r="D77" s="55" t="s">
        <v>249</v>
      </c>
      <c r="E77" s="55" t="s">
        <v>179</v>
      </c>
      <c r="F77" s="57">
        <v>2024130010136</v>
      </c>
      <c r="G77" s="55" t="s">
        <v>238</v>
      </c>
      <c r="H77" s="100" t="s">
        <v>209</v>
      </c>
      <c r="I77" s="55" t="s">
        <v>326</v>
      </c>
      <c r="J77" s="170">
        <v>7166</v>
      </c>
      <c r="K77" s="210">
        <v>0.25</v>
      </c>
      <c r="L77" s="55" t="s">
        <v>210</v>
      </c>
      <c r="M77" s="58"/>
      <c r="N77" s="58" t="s">
        <v>723</v>
      </c>
      <c r="O77" s="58">
        <v>7166</v>
      </c>
      <c r="P77" s="211">
        <v>7000</v>
      </c>
      <c r="Q77" s="59">
        <v>429</v>
      </c>
      <c r="R77" s="334">
        <f>+Q77/P77</f>
        <v>6.1285714285714284E-2</v>
      </c>
      <c r="S77" s="186">
        <v>45660</v>
      </c>
      <c r="T77" s="186">
        <v>46022</v>
      </c>
      <c r="U77" s="187">
        <f t="shared" si="3"/>
        <v>362</v>
      </c>
      <c r="V77" s="55">
        <v>7000</v>
      </c>
      <c r="W77" s="58" t="s">
        <v>267</v>
      </c>
      <c r="X77" s="59" t="s">
        <v>275</v>
      </c>
      <c r="Y77" s="60" t="s">
        <v>312</v>
      </c>
      <c r="Z77" s="59" t="s">
        <v>313</v>
      </c>
      <c r="AA77" s="61" t="s">
        <v>266</v>
      </c>
      <c r="AB77" s="123" t="s">
        <v>511</v>
      </c>
      <c r="AC77" s="124">
        <v>62000000</v>
      </c>
      <c r="AD77" s="59" t="s">
        <v>47</v>
      </c>
      <c r="AE77" s="59" t="s">
        <v>41</v>
      </c>
      <c r="AF77" s="59"/>
      <c r="AG77" s="59"/>
      <c r="AH77" s="567"/>
      <c r="AI77" s="567"/>
      <c r="AJ77" s="59"/>
      <c r="AK77" s="59"/>
      <c r="AL77" s="59"/>
      <c r="AM77" s="570"/>
      <c r="AN77" s="58" t="s">
        <v>179</v>
      </c>
      <c r="AO77" s="108" t="s">
        <v>678</v>
      </c>
      <c r="AP77" s="562"/>
      <c r="AQ77" s="562"/>
      <c r="AR77" s="559"/>
      <c r="AS77" s="562"/>
      <c r="AT77" s="562"/>
      <c r="AU77" s="562"/>
      <c r="AV77" s="562"/>
      <c r="AW77" s="4"/>
      <c r="AX77" s="4"/>
      <c r="AY77" s="4"/>
      <c r="AZ77" s="4"/>
      <c r="BA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row>
    <row r="78" spans="1:119" s="155" customFormat="1" ht="409.6">
      <c r="A78" s="55" t="s">
        <v>172</v>
      </c>
      <c r="B78" s="55" t="s">
        <v>112</v>
      </c>
      <c r="C78" s="56" t="s">
        <v>276</v>
      </c>
      <c r="D78" s="55" t="s">
        <v>249</v>
      </c>
      <c r="E78" s="55" t="s">
        <v>179</v>
      </c>
      <c r="F78" s="57">
        <v>2024130010136</v>
      </c>
      <c r="G78" s="55" t="s">
        <v>238</v>
      </c>
      <c r="H78" s="58" t="s">
        <v>209</v>
      </c>
      <c r="I78" s="55" t="s">
        <v>326</v>
      </c>
      <c r="J78" s="170">
        <v>7166</v>
      </c>
      <c r="K78" s="210">
        <v>0.25</v>
      </c>
      <c r="L78" s="55" t="s">
        <v>213</v>
      </c>
      <c r="M78" s="58" t="s">
        <v>547</v>
      </c>
      <c r="N78" s="58" t="s">
        <v>724</v>
      </c>
      <c r="O78" s="58">
        <v>7166</v>
      </c>
      <c r="P78" s="211">
        <v>7000</v>
      </c>
      <c r="Q78" s="59">
        <v>429</v>
      </c>
      <c r="R78" s="334">
        <f>+Q78/P78</f>
        <v>6.1285714285714284E-2</v>
      </c>
      <c r="S78" s="186">
        <v>45660</v>
      </c>
      <c r="T78" s="186">
        <v>46022</v>
      </c>
      <c r="U78" s="187">
        <f t="shared" si="3"/>
        <v>362</v>
      </c>
      <c r="V78" s="55">
        <v>7000</v>
      </c>
      <c r="W78" s="58" t="s">
        <v>267</v>
      </c>
      <c r="X78" s="59" t="s">
        <v>275</v>
      </c>
      <c r="Y78" s="58" t="s">
        <v>314</v>
      </c>
      <c r="Z78" s="59" t="s">
        <v>315</v>
      </c>
      <c r="AA78" s="61" t="s">
        <v>266</v>
      </c>
      <c r="AB78" s="123" t="s">
        <v>511</v>
      </c>
      <c r="AC78" s="124">
        <v>63000000</v>
      </c>
      <c r="AD78" s="59" t="s">
        <v>47</v>
      </c>
      <c r="AE78" s="59" t="s">
        <v>41</v>
      </c>
      <c r="AF78" s="59"/>
      <c r="AG78" s="59"/>
      <c r="AH78" s="567"/>
      <c r="AI78" s="567"/>
      <c r="AJ78" s="59"/>
      <c r="AK78" s="59"/>
      <c r="AL78" s="59"/>
      <c r="AM78" s="570"/>
      <c r="AN78" s="58" t="s">
        <v>179</v>
      </c>
      <c r="AO78" s="108" t="s">
        <v>678</v>
      </c>
      <c r="AP78" s="562"/>
      <c r="AQ78" s="562"/>
      <c r="AR78" s="559"/>
      <c r="AS78" s="562"/>
      <c r="AT78" s="562"/>
      <c r="AU78" s="562"/>
      <c r="AV78" s="562"/>
      <c r="AW78" s="4"/>
      <c r="AX78" s="4"/>
      <c r="AY78" s="4"/>
      <c r="AZ78" s="4"/>
      <c r="BA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row>
    <row r="79" spans="1:119" s="155" customFormat="1" ht="409.6">
      <c r="A79" s="55" t="s">
        <v>172</v>
      </c>
      <c r="B79" s="55" t="s">
        <v>112</v>
      </c>
      <c r="C79" s="56" t="s">
        <v>276</v>
      </c>
      <c r="D79" s="55" t="s">
        <v>249</v>
      </c>
      <c r="E79" s="55" t="s">
        <v>179</v>
      </c>
      <c r="F79" s="57">
        <v>2024130010136</v>
      </c>
      <c r="G79" s="55" t="s">
        <v>238</v>
      </c>
      <c r="H79" s="58" t="s">
        <v>209</v>
      </c>
      <c r="I79" s="55" t="s">
        <v>326</v>
      </c>
      <c r="J79" s="170">
        <v>7166</v>
      </c>
      <c r="K79" s="210">
        <v>0.25</v>
      </c>
      <c r="L79" s="55" t="s">
        <v>213</v>
      </c>
      <c r="M79" s="58" t="s">
        <v>547</v>
      </c>
      <c r="N79" s="58" t="s">
        <v>724</v>
      </c>
      <c r="O79" s="58">
        <v>7166</v>
      </c>
      <c r="P79" s="211">
        <v>7000</v>
      </c>
      <c r="Q79" s="59">
        <v>429</v>
      </c>
      <c r="R79" s="334">
        <f t="shared" ref="R79:R84" si="4">+Q79/P79</f>
        <v>6.1285714285714284E-2</v>
      </c>
      <c r="S79" s="186">
        <v>45660</v>
      </c>
      <c r="T79" s="186">
        <v>46022</v>
      </c>
      <c r="U79" s="187">
        <f t="shared" si="3"/>
        <v>362</v>
      </c>
      <c r="V79" s="55">
        <v>7000</v>
      </c>
      <c r="W79" s="58" t="s">
        <v>267</v>
      </c>
      <c r="X79" s="59" t="s">
        <v>275</v>
      </c>
      <c r="Y79" s="58" t="s">
        <v>314</v>
      </c>
      <c r="Z79" s="59" t="s">
        <v>315</v>
      </c>
      <c r="AA79" s="61" t="s">
        <v>266</v>
      </c>
      <c r="AB79" s="123" t="s">
        <v>601</v>
      </c>
      <c r="AC79" s="124">
        <v>204956339</v>
      </c>
      <c r="AD79" s="58" t="s">
        <v>45</v>
      </c>
      <c r="AE79" s="123" t="s">
        <v>594</v>
      </c>
      <c r="AF79" s="59"/>
      <c r="AG79" s="59"/>
      <c r="AH79" s="567"/>
      <c r="AI79" s="567"/>
      <c r="AJ79" s="59"/>
      <c r="AK79" s="59"/>
      <c r="AL79" s="59"/>
      <c r="AM79" s="570"/>
      <c r="AN79" s="58" t="s">
        <v>179</v>
      </c>
      <c r="AO79" s="108" t="s">
        <v>678</v>
      </c>
      <c r="AP79" s="562"/>
      <c r="AQ79" s="562"/>
      <c r="AR79" s="559"/>
      <c r="AS79" s="562"/>
      <c r="AT79" s="562"/>
      <c r="AU79" s="562"/>
      <c r="AV79" s="562"/>
      <c r="AW79" s="4"/>
      <c r="AX79" s="4"/>
      <c r="AY79" s="4"/>
      <c r="AZ79" s="4"/>
      <c r="BA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row>
    <row r="80" spans="1:119" s="155" customFormat="1" ht="409.6">
      <c r="A80" s="55" t="s">
        <v>172</v>
      </c>
      <c r="B80" s="55" t="s">
        <v>112</v>
      </c>
      <c r="C80" s="56" t="s">
        <v>276</v>
      </c>
      <c r="D80" s="55" t="s">
        <v>249</v>
      </c>
      <c r="E80" s="55" t="s">
        <v>179</v>
      </c>
      <c r="F80" s="57">
        <v>2024130010136</v>
      </c>
      <c r="G80" s="55" t="s">
        <v>238</v>
      </c>
      <c r="H80" s="58" t="s">
        <v>209</v>
      </c>
      <c r="I80" s="55" t="s">
        <v>326</v>
      </c>
      <c r="J80" s="170">
        <v>7166</v>
      </c>
      <c r="K80" s="210">
        <v>0.25</v>
      </c>
      <c r="L80" s="55" t="s">
        <v>213</v>
      </c>
      <c r="M80" s="58" t="s">
        <v>547</v>
      </c>
      <c r="N80" s="58" t="s">
        <v>724</v>
      </c>
      <c r="O80" s="58">
        <v>7166</v>
      </c>
      <c r="P80" s="211">
        <v>7000</v>
      </c>
      <c r="Q80" s="59">
        <v>429</v>
      </c>
      <c r="R80" s="334">
        <f t="shared" si="4"/>
        <v>6.1285714285714284E-2</v>
      </c>
      <c r="S80" s="186">
        <v>45660</v>
      </c>
      <c r="T80" s="186">
        <v>46022</v>
      </c>
      <c r="U80" s="187">
        <f t="shared" si="3"/>
        <v>362</v>
      </c>
      <c r="V80" s="55">
        <v>7000</v>
      </c>
      <c r="W80" s="58" t="s">
        <v>267</v>
      </c>
      <c r="X80" s="59" t="s">
        <v>275</v>
      </c>
      <c r="Y80" s="58" t="s">
        <v>314</v>
      </c>
      <c r="Z80" s="59" t="s">
        <v>315</v>
      </c>
      <c r="AA80" s="61" t="s">
        <v>266</v>
      </c>
      <c r="AB80" s="123" t="s">
        <v>585</v>
      </c>
      <c r="AC80" s="124">
        <v>51000000</v>
      </c>
      <c r="AD80" s="58" t="s">
        <v>44</v>
      </c>
      <c r="AE80" s="59" t="s">
        <v>41</v>
      </c>
      <c r="AF80" s="59"/>
      <c r="AG80" s="59"/>
      <c r="AH80" s="567"/>
      <c r="AI80" s="567"/>
      <c r="AJ80" s="59"/>
      <c r="AK80" s="59"/>
      <c r="AL80" s="59"/>
      <c r="AM80" s="570"/>
      <c r="AN80" s="58" t="s">
        <v>179</v>
      </c>
      <c r="AO80" s="108" t="s">
        <v>678</v>
      </c>
      <c r="AP80" s="562"/>
      <c r="AQ80" s="562"/>
      <c r="AR80" s="559"/>
      <c r="AS80" s="562"/>
      <c r="AT80" s="562"/>
      <c r="AU80" s="562"/>
      <c r="AV80" s="562"/>
      <c r="AW80" s="4"/>
      <c r="AX80" s="4"/>
      <c r="AY80" s="4"/>
      <c r="AZ80" s="4"/>
      <c r="BA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row>
    <row r="81" spans="1:119" s="155" customFormat="1" ht="409.6">
      <c r="A81" s="55" t="s">
        <v>172</v>
      </c>
      <c r="B81" s="55" t="s">
        <v>112</v>
      </c>
      <c r="C81" s="56" t="s">
        <v>276</v>
      </c>
      <c r="D81" s="55" t="s">
        <v>249</v>
      </c>
      <c r="E81" s="55" t="s">
        <v>179</v>
      </c>
      <c r="F81" s="57">
        <v>2024130010136</v>
      </c>
      <c r="G81" s="55" t="s">
        <v>238</v>
      </c>
      <c r="H81" s="58" t="s">
        <v>209</v>
      </c>
      <c r="I81" s="55" t="s">
        <v>326</v>
      </c>
      <c r="J81" s="170">
        <v>7166</v>
      </c>
      <c r="K81" s="210">
        <v>0.25</v>
      </c>
      <c r="L81" s="55" t="s">
        <v>213</v>
      </c>
      <c r="M81" s="58" t="s">
        <v>547</v>
      </c>
      <c r="N81" s="58" t="s">
        <v>724</v>
      </c>
      <c r="O81" s="58">
        <v>7166</v>
      </c>
      <c r="P81" s="211">
        <v>7000</v>
      </c>
      <c r="Q81" s="59">
        <v>429</v>
      </c>
      <c r="R81" s="334">
        <f t="shared" si="4"/>
        <v>6.1285714285714284E-2</v>
      </c>
      <c r="S81" s="186">
        <v>45660</v>
      </c>
      <c r="T81" s="186">
        <v>46022</v>
      </c>
      <c r="U81" s="187">
        <f t="shared" si="3"/>
        <v>362</v>
      </c>
      <c r="V81" s="55">
        <v>7000</v>
      </c>
      <c r="W81" s="58" t="s">
        <v>267</v>
      </c>
      <c r="X81" s="59" t="s">
        <v>275</v>
      </c>
      <c r="Y81" s="58" t="s">
        <v>314</v>
      </c>
      <c r="Z81" s="59" t="s">
        <v>315</v>
      </c>
      <c r="AA81" s="61" t="s">
        <v>266</v>
      </c>
      <c r="AB81" s="123" t="s">
        <v>517</v>
      </c>
      <c r="AC81" s="124">
        <v>25000000</v>
      </c>
      <c r="AD81" s="58" t="s">
        <v>48</v>
      </c>
      <c r="AE81" s="59" t="s">
        <v>41</v>
      </c>
      <c r="AF81" s="59"/>
      <c r="AG81" s="59"/>
      <c r="AH81" s="567"/>
      <c r="AI81" s="567"/>
      <c r="AJ81" s="59"/>
      <c r="AK81" s="59"/>
      <c r="AL81" s="59"/>
      <c r="AM81" s="570"/>
      <c r="AN81" s="58" t="s">
        <v>179</v>
      </c>
      <c r="AO81" s="108" t="s">
        <v>678</v>
      </c>
      <c r="AP81" s="562"/>
      <c r="AQ81" s="562"/>
      <c r="AR81" s="559"/>
      <c r="AS81" s="562"/>
      <c r="AT81" s="562"/>
      <c r="AU81" s="562"/>
      <c r="AV81" s="562"/>
      <c r="AW81" s="4"/>
      <c r="AX81" s="4"/>
      <c r="AY81" s="4"/>
      <c r="AZ81" s="4"/>
      <c r="BA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row>
    <row r="82" spans="1:119" s="155" customFormat="1" ht="69">
      <c r="A82" s="55" t="s">
        <v>172</v>
      </c>
      <c r="B82" s="55" t="s">
        <v>112</v>
      </c>
      <c r="C82" s="56" t="s">
        <v>276</v>
      </c>
      <c r="D82" s="55" t="s">
        <v>249</v>
      </c>
      <c r="E82" s="55" t="s">
        <v>179</v>
      </c>
      <c r="F82" s="57">
        <v>2024130010136</v>
      </c>
      <c r="G82" s="55" t="s">
        <v>238</v>
      </c>
      <c r="H82" s="58" t="s">
        <v>209</v>
      </c>
      <c r="I82" s="55" t="s">
        <v>326</v>
      </c>
      <c r="J82" s="170">
        <v>7166</v>
      </c>
      <c r="K82" s="210">
        <v>0.25</v>
      </c>
      <c r="L82" s="55" t="s">
        <v>214</v>
      </c>
      <c r="M82" s="59"/>
      <c r="N82" s="58" t="s">
        <v>725</v>
      </c>
      <c r="O82" s="58">
        <v>7166</v>
      </c>
      <c r="P82" s="211">
        <v>7000</v>
      </c>
      <c r="Q82" s="59">
        <v>429</v>
      </c>
      <c r="R82" s="334">
        <f t="shared" si="4"/>
        <v>6.1285714285714284E-2</v>
      </c>
      <c r="S82" s="186">
        <v>45660</v>
      </c>
      <c r="T82" s="186">
        <v>46022</v>
      </c>
      <c r="U82" s="187">
        <f t="shared" si="3"/>
        <v>362</v>
      </c>
      <c r="V82" s="55">
        <v>7000</v>
      </c>
      <c r="W82" s="58" t="s">
        <v>267</v>
      </c>
      <c r="X82" s="59" t="s">
        <v>275</v>
      </c>
      <c r="Y82" s="58" t="s">
        <v>316</v>
      </c>
      <c r="Z82" s="58" t="s">
        <v>317</v>
      </c>
      <c r="AA82" s="61" t="s">
        <v>266</v>
      </c>
      <c r="AB82" s="123" t="s">
        <v>511</v>
      </c>
      <c r="AC82" s="124">
        <v>31000000</v>
      </c>
      <c r="AD82" s="59" t="s">
        <v>47</v>
      </c>
      <c r="AE82" s="59" t="s">
        <v>41</v>
      </c>
      <c r="AF82" s="59"/>
      <c r="AG82" s="59"/>
      <c r="AH82" s="567"/>
      <c r="AI82" s="567"/>
      <c r="AJ82" s="59"/>
      <c r="AK82" s="59"/>
      <c r="AL82" s="59"/>
      <c r="AM82" s="570"/>
      <c r="AN82" s="58" t="s">
        <v>179</v>
      </c>
      <c r="AO82" s="108" t="s">
        <v>678</v>
      </c>
      <c r="AP82" s="562"/>
      <c r="AQ82" s="562"/>
      <c r="AR82" s="559"/>
      <c r="AS82" s="562"/>
      <c r="AT82" s="562"/>
      <c r="AU82" s="562"/>
      <c r="AV82" s="562"/>
      <c r="AW82" s="4"/>
      <c r="AX82" s="4"/>
      <c r="AY82" s="4"/>
      <c r="AZ82" s="4"/>
      <c r="BA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row>
    <row r="83" spans="1:119" s="155" customFormat="1" ht="82.8">
      <c r="A83" s="55" t="s">
        <v>172</v>
      </c>
      <c r="B83" s="55" t="s">
        <v>112</v>
      </c>
      <c r="C83" s="56" t="s">
        <v>276</v>
      </c>
      <c r="D83" s="55" t="s">
        <v>249</v>
      </c>
      <c r="E83" s="55" t="s">
        <v>179</v>
      </c>
      <c r="F83" s="57">
        <v>2024130010136</v>
      </c>
      <c r="G83" s="55" t="s">
        <v>238</v>
      </c>
      <c r="H83" s="58" t="s">
        <v>209</v>
      </c>
      <c r="I83" s="60" t="s">
        <v>327</v>
      </c>
      <c r="J83" s="170">
        <v>137</v>
      </c>
      <c r="K83" s="210">
        <v>0.25</v>
      </c>
      <c r="L83" s="55" t="s">
        <v>212</v>
      </c>
      <c r="M83" s="58"/>
      <c r="N83" s="58" t="s">
        <v>726</v>
      </c>
      <c r="O83" s="58">
        <v>7166</v>
      </c>
      <c r="P83" s="211">
        <v>7000</v>
      </c>
      <c r="Q83" s="59">
        <v>429</v>
      </c>
      <c r="R83" s="334">
        <f t="shared" si="4"/>
        <v>6.1285714285714284E-2</v>
      </c>
      <c r="S83" s="186">
        <v>45660</v>
      </c>
      <c r="T83" s="186">
        <v>46022</v>
      </c>
      <c r="U83" s="187">
        <f t="shared" si="3"/>
        <v>362</v>
      </c>
      <c r="V83" s="55">
        <v>7000</v>
      </c>
      <c r="W83" s="58" t="s">
        <v>267</v>
      </c>
      <c r="X83" s="59" t="s">
        <v>275</v>
      </c>
      <c r="Y83" s="58" t="s">
        <v>318</v>
      </c>
      <c r="Z83" s="58" t="s">
        <v>319</v>
      </c>
      <c r="AA83" s="61" t="s">
        <v>266</v>
      </c>
      <c r="AB83" s="123" t="s">
        <v>511</v>
      </c>
      <c r="AC83" s="124">
        <v>31000000</v>
      </c>
      <c r="AD83" s="59" t="s">
        <v>47</v>
      </c>
      <c r="AE83" s="59" t="s">
        <v>41</v>
      </c>
      <c r="AF83" s="59"/>
      <c r="AG83" s="59"/>
      <c r="AH83" s="567"/>
      <c r="AI83" s="567"/>
      <c r="AJ83" s="59"/>
      <c r="AK83" s="59"/>
      <c r="AL83" s="59"/>
      <c r="AM83" s="570"/>
      <c r="AN83" s="58" t="s">
        <v>179</v>
      </c>
      <c r="AO83" s="108" t="s">
        <v>678</v>
      </c>
      <c r="AP83" s="562"/>
      <c r="AQ83" s="562"/>
      <c r="AR83" s="559"/>
      <c r="AS83" s="562"/>
      <c r="AT83" s="562"/>
      <c r="AU83" s="562"/>
      <c r="AV83" s="562"/>
      <c r="AW83" s="4"/>
      <c r="AX83" s="4"/>
      <c r="AY83" s="4"/>
      <c r="AZ83" s="4"/>
      <c r="BA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row>
    <row r="84" spans="1:119" s="155" customFormat="1" ht="69">
      <c r="A84" s="55" t="s">
        <v>172</v>
      </c>
      <c r="B84" s="55" t="s">
        <v>112</v>
      </c>
      <c r="C84" s="56" t="s">
        <v>276</v>
      </c>
      <c r="D84" s="55" t="s">
        <v>130</v>
      </c>
      <c r="E84" s="55" t="s">
        <v>179</v>
      </c>
      <c r="F84" s="57">
        <v>2024130010136</v>
      </c>
      <c r="G84" s="55" t="s">
        <v>238</v>
      </c>
      <c r="H84" s="58" t="s">
        <v>209</v>
      </c>
      <c r="I84" s="60" t="s">
        <v>327</v>
      </c>
      <c r="J84" s="170">
        <v>137</v>
      </c>
      <c r="K84" s="210">
        <v>0.1</v>
      </c>
      <c r="L84" s="55" t="s">
        <v>211</v>
      </c>
      <c r="M84" s="58"/>
      <c r="N84" s="58" t="s">
        <v>578</v>
      </c>
      <c r="O84" s="58">
        <v>20</v>
      </c>
      <c r="P84" s="211">
        <v>7000</v>
      </c>
      <c r="Q84" s="59">
        <v>0</v>
      </c>
      <c r="R84" s="334">
        <f t="shared" si="4"/>
        <v>0</v>
      </c>
      <c r="S84" s="186">
        <v>45660</v>
      </c>
      <c r="T84" s="186">
        <v>46022</v>
      </c>
      <c r="U84" s="187">
        <f t="shared" si="3"/>
        <v>362</v>
      </c>
      <c r="V84" s="59" t="s">
        <v>265</v>
      </c>
      <c r="W84" s="58" t="s">
        <v>267</v>
      </c>
      <c r="X84" s="59" t="s">
        <v>275</v>
      </c>
      <c r="Y84" s="58" t="s">
        <v>298</v>
      </c>
      <c r="Z84" s="58" t="s">
        <v>299</v>
      </c>
      <c r="AA84" s="61" t="s">
        <v>266</v>
      </c>
      <c r="AB84" s="123" t="s">
        <v>511</v>
      </c>
      <c r="AC84" s="124">
        <v>31000000</v>
      </c>
      <c r="AD84" s="59" t="s">
        <v>47</v>
      </c>
      <c r="AE84" s="59" t="s">
        <v>41</v>
      </c>
      <c r="AF84" s="59"/>
      <c r="AG84" s="59"/>
      <c r="AH84" s="568"/>
      <c r="AI84" s="568"/>
      <c r="AJ84" s="59"/>
      <c r="AK84" s="59"/>
      <c r="AL84" s="59"/>
      <c r="AM84" s="571"/>
      <c r="AN84" s="58" t="s">
        <v>179</v>
      </c>
      <c r="AO84" s="108" t="s">
        <v>678</v>
      </c>
      <c r="AP84" s="563"/>
      <c r="AQ84" s="563"/>
      <c r="AR84" s="560"/>
      <c r="AS84" s="563"/>
      <c r="AT84" s="563"/>
      <c r="AU84" s="563"/>
      <c r="AV84" s="563"/>
      <c r="AW84" s="4"/>
      <c r="AX84" s="4"/>
      <c r="AY84" s="4"/>
      <c r="AZ84" s="4"/>
      <c r="BA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row>
    <row r="85" spans="1:119" s="155" customFormat="1" ht="60.75" customHeight="1">
      <c r="A85" s="55"/>
      <c r="B85" s="55"/>
      <c r="C85" s="56"/>
      <c r="D85" s="55"/>
      <c r="E85" s="513" t="s">
        <v>693</v>
      </c>
      <c r="F85" s="514"/>
      <c r="G85" s="514"/>
      <c r="H85" s="514"/>
      <c r="I85" s="514"/>
      <c r="J85" s="514"/>
      <c r="K85" s="514"/>
      <c r="L85" s="514"/>
      <c r="M85" s="514"/>
      <c r="N85" s="514"/>
      <c r="O85" s="514"/>
      <c r="P85" s="514"/>
      <c r="Q85" s="515"/>
      <c r="R85" s="335">
        <f>AVERAGE(R74:R84)</f>
        <v>3.9E-2</v>
      </c>
      <c r="S85" s="186"/>
      <c r="T85" s="186"/>
      <c r="U85" s="187"/>
      <c r="V85" s="59"/>
      <c r="W85" s="58"/>
      <c r="X85" s="59"/>
      <c r="Y85" s="58"/>
      <c r="Z85" s="58"/>
      <c r="AA85" s="61"/>
      <c r="AB85" s="123"/>
      <c r="AC85" s="124"/>
      <c r="AD85" s="59"/>
      <c r="AE85" s="59"/>
      <c r="AF85" s="59"/>
      <c r="AG85" s="59"/>
      <c r="AH85" s="287"/>
      <c r="AI85" s="287"/>
      <c r="AJ85" s="59"/>
      <c r="AK85" s="59"/>
      <c r="AL85" s="59"/>
      <c r="AM85" s="286"/>
      <c r="AN85" s="58"/>
      <c r="AO85" s="318" t="s">
        <v>689</v>
      </c>
      <c r="AP85" s="308">
        <f>SUM(AP74)</f>
        <v>565956339</v>
      </c>
      <c r="AQ85" s="308">
        <f>SUM(AQ74)</f>
        <v>60165000</v>
      </c>
      <c r="AR85" s="336">
        <f>SUM(AR74)</f>
        <v>0.10630000000000001</v>
      </c>
      <c r="AS85" s="308">
        <f>SUM(AS74)</f>
        <v>0</v>
      </c>
      <c r="AT85" s="308">
        <f>SUM(AT74)</f>
        <v>0</v>
      </c>
      <c r="AU85" s="337">
        <v>0</v>
      </c>
      <c r="AV85" s="337">
        <v>0</v>
      </c>
      <c r="AW85" s="4"/>
      <c r="AX85" s="4"/>
      <c r="AY85" s="4"/>
      <c r="AZ85" s="4"/>
      <c r="BA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row>
    <row r="86" spans="1:119" s="156" customFormat="1" ht="60.75" customHeight="1">
      <c r="A86" s="64" t="s">
        <v>172</v>
      </c>
      <c r="B86" s="64" t="s">
        <v>113</v>
      </c>
      <c r="C86" s="65" t="s">
        <v>277</v>
      </c>
      <c r="D86" s="64" t="s">
        <v>131</v>
      </c>
      <c r="E86" s="64" t="s">
        <v>180</v>
      </c>
      <c r="F86" s="66">
        <v>2024130010135</v>
      </c>
      <c r="G86" s="64" t="s">
        <v>188</v>
      </c>
      <c r="H86" s="64" t="s">
        <v>201</v>
      </c>
      <c r="I86" s="64" t="s">
        <v>331</v>
      </c>
      <c r="J86" s="171">
        <v>10014</v>
      </c>
      <c r="K86" s="210">
        <v>1</v>
      </c>
      <c r="L86" s="68" t="s">
        <v>219</v>
      </c>
      <c r="M86" s="67"/>
      <c r="N86" s="68" t="s">
        <v>552</v>
      </c>
      <c r="O86" s="68">
        <v>15578</v>
      </c>
      <c r="P86" s="211">
        <v>15500</v>
      </c>
      <c r="Q86" s="67">
        <v>264</v>
      </c>
      <c r="R86" s="67"/>
      <c r="S86" s="186">
        <v>45660</v>
      </c>
      <c r="T86" s="186">
        <v>46022</v>
      </c>
      <c r="U86" s="187">
        <f t="shared" si="3"/>
        <v>362</v>
      </c>
      <c r="V86" s="64">
        <v>15250</v>
      </c>
      <c r="W86" s="68" t="s">
        <v>267</v>
      </c>
      <c r="X86" s="67" t="s">
        <v>275</v>
      </c>
      <c r="Y86" s="64" t="s">
        <v>363</v>
      </c>
      <c r="Z86" s="64" t="s">
        <v>364</v>
      </c>
      <c r="AA86" s="69" t="s">
        <v>266</v>
      </c>
      <c r="AB86" s="129" t="s">
        <v>508</v>
      </c>
      <c r="AC86" s="130">
        <v>180000000</v>
      </c>
      <c r="AD86" s="67" t="s">
        <v>47</v>
      </c>
      <c r="AE86" s="67" t="s">
        <v>43</v>
      </c>
      <c r="AF86" s="67"/>
      <c r="AG86" s="67"/>
      <c r="AH86" s="587">
        <v>4017092532</v>
      </c>
      <c r="AI86" s="590"/>
      <c r="AJ86" s="67"/>
      <c r="AK86" s="67"/>
      <c r="AL86" s="67"/>
      <c r="AM86" s="593" t="s">
        <v>565</v>
      </c>
      <c r="AN86" s="68" t="s">
        <v>180</v>
      </c>
      <c r="AO86" s="148" t="s">
        <v>672</v>
      </c>
      <c r="AP86" s="577">
        <v>4193305880.3099999</v>
      </c>
      <c r="AQ86" s="577">
        <v>2301233000</v>
      </c>
      <c r="AR86" s="596">
        <v>0.54879999999999995</v>
      </c>
      <c r="AS86" s="577">
        <v>0</v>
      </c>
      <c r="AT86" s="577">
        <v>0</v>
      </c>
      <c r="AU86" s="580">
        <v>0</v>
      </c>
      <c r="AV86" s="580">
        <v>0</v>
      </c>
      <c r="AW86" s="4"/>
      <c r="AX86" s="4"/>
      <c r="AY86" s="4"/>
      <c r="AZ86" s="4"/>
      <c r="BA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row>
    <row r="87" spans="1:119" s="156" customFormat="1" ht="55.2">
      <c r="A87" s="64" t="s">
        <v>172</v>
      </c>
      <c r="B87" s="64" t="s">
        <v>113</v>
      </c>
      <c r="C87" s="65" t="s">
        <v>277</v>
      </c>
      <c r="D87" s="64" t="s">
        <v>131</v>
      </c>
      <c r="E87" s="64" t="s">
        <v>180</v>
      </c>
      <c r="F87" s="66">
        <v>2024130010135</v>
      </c>
      <c r="G87" s="64" t="s">
        <v>188</v>
      </c>
      <c r="H87" s="64" t="s">
        <v>201</v>
      </c>
      <c r="I87" s="64" t="s">
        <v>331</v>
      </c>
      <c r="J87" s="171">
        <v>10014</v>
      </c>
      <c r="K87" s="210">
        <v>1</v>
      </c>
      <c r="L87" s="68" t="s">
        <v>219</v>
      </c>
      <c r="M87" s="67"/>
      <c r="N87" s="68" t="s">
        <v>552</v>
      </c>
      <c r="O87" s="68">
        <v>15578</v>
      </c>
      <c r="P87" s="211">
        <v>15250</v>
      </c>
      <c r="Q87" s="67">
        <v>264</v>
      </c>
      <c r="R87" s="67"/>
      <c r="S87" s="186">
        <v>45660</v>
      </c>
      <c r="T87" s="186">
        <v>46022</v>
      </c>
      <c r="U87" s="187">
        <f t="shared" si="3"/>
        <v>362</v>
      </c>
      <c r="V87" s="64">
        <v>15250</v>
      </c>
      <c r="W87" s="68" t="s">
        <v>267</v>
      </c>
      <c r="X87" s="67" t="s">
        <v>275</v>
      </c>
      <c r="Y87" s="64" t="s">
        <v>363</v>
      </c>
      <c r="Z87" s="64" t="s">
        <v>364</v>
      </c>
      <c r="AA87" s="69" t="s">
        <v>266</v>
      </c>
      <c r="AB87" s="129" t="s">
        <v>584</v>
      </c>
      <c r="AC87" s="130">
        <v>300000000</v>
      </c>
      <c r="AD87" s="68" t="s">
        <v>45</v>
      </c>
      <c r="AE87" s="67" t="s">
        <v>41</v>
      </c>
      <c r="AF87" s="67"/>
      <c r="AG87" s="67"/>
      <c r="AH87" s="588"/>
      <c r="AI87" s="591"/>
      <c r="AJ87" s="67"/>
      <c r="AK87" s="67"/>
      <c r="AL87" s="67"/>
      <c r="AM87" s="594"/>
      <c r="AN87" s="68" t="s">
        <v>180</v>
      </c>
      <c r="AO87" s="148" t="s">
        <v>672</v>
      </c>
      <c r="AP87" s="578"/>
      <c r="AQ87" s="578"/>
      <c r="AR87" s="597"/>
      <c r="AS87" s="578"/>
      <c r="AT87" s="578"/>
      <c r="AU87" s="578"/>
      <c r="AV87" s="578"/>
      <c r="AW87" s="4"/>
      <c r="AX87" s="4"/>
      <c r="AY87" s="4"/>
      <c r="AZ87" s="4"/>
      <c r="BA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row>
    <row r="88" spans="1:119" s="156" customFormat="1" ht="55.2">
      <c r="A88" s="64" t="s">
        <v>172</v>
      </c>
      <c r="B88" s="64" t="s">
        <v>113</v>
      </c>
      <c r="C88" s="65" t="s">
        <v>277</v>
      </c>
      <c r="D88" s="64" t="s">
        <v>131</v>
      </c>
      <c r="E88" s="64" t="s">
        <v>180</v>
      </c>
      <c r="F88" s="66">
        <v>2024130010135</v>
      </c>
      <c r="G88" s="64" t="s">
        <v>188</v>
      </c>
      <c r="H88" s="64" t="s">
        <v>201</v>
      </c>
      <c r="I88" s="64" t="s">
        <v>331</v>
      </c>
      <c r="J88" s="171">
        <v>10014</v>
      </c>
      <c r="K88" s="210">
        <v>1</v>
      </c>
      <c r="L88" s="68" t="s">
        <v>583</v>
      </c>
      <c r="M88" s="67"/>
      <c r="N88" s="68" t="s">
        <v>727</v>
      </c>
      <c r="O88" s="68">
        <v>15578</v>
      </c>
      <c r="P88" s="211">
        <v>15250</v>
      </c>
      <c r="Q88" s="67">
        <v>264</v>
      </c>
      <c r="R88" s="67"/>
      <c r="S88" s="186">
        <v>45660</v>
      </c>
      <c r="T88" s="186">
        <v>46022</v>
      </c>
      <c r="U88" s="187">
        <f t="shared" si="3"/>
        <v>362</v>
      </c>
      <c r="V88" s="64">
        <v>15250</v>
      </c>
      <c r="W88" s="68" t="s">
        <v>267</v>
      </c>
      <c r="X88" s="67" t="s">
        <v>275</v>
      </c>
      <c r="Y88" s="64" t="s">
        <v>363</v>
      </c>
      <c r="Z88" s="64" t="s">
        <v>364</v>
      </c>
      <c r="AA88" s="69" t="s">
        <v>266</v>
      </c>
      <c r="AB88" s="129" t="s">
        <v>585</v>
      </c>
      <c r="AC88" s="130">
        <v>80000000</v>
      </c>
      <c r="AD88" s="68" t="s">
        <v>44</v>
      </c>
      <c r="AE88" s="67" t="s">
        <v>41</v>
      </c>
      <c r="AF88" s="67"/>
      <c r="AG88" s="67"/>
      <c r="AH88" s="588"/>
      <c r="AI88" s="591"/>
      <c r="AJ88" s="67"/>
      <c r="AK88" s="67"/>
      <c r="AL88" s="67"/>
      <c r="AM88" s="594"/>
      <c r="AN88" s="68" t="s">
        <v>180</v>
      </c>
      <c r="AO88" s="148" t="s">
        <v>672</v>
      </c>
      <c r="AP88" s="578"/>
      <c r="AQ88" s="578"/>
      <c r="AR88" s="597"/>
      <c r="AS88" s="578"/>
      <c r="AT88" s="578"/>
      <c r="AU88" s="578"/>
      <c r="AV88" s="578"/>
      <c r="AW88" s="4"/>
      <c r="AX88" s="4"/>
      <c r="AY88" s="4"/>
      <c r="AZ88" s="4"/>
      <c r="BA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row>
    <row r="89" spans="1:119" s="156" customFormat="1" ht="55.2">
      <c r="A89" s="64" t="s">
        <v>172</v>
      </c>
      <c r="B89" s="64" t="s">
        <v>113</v>
      </c>
      <c r="C89" s="65" t="s">
        <v>277</v>
      </c>
      <c r="D89" s="64" t="s">
        <v>131</v>
      </c>
      <c r="E89" s="64" t="s">
        <v>180</v>
      </c>
      <c r="F89" s="66">
        <v>2024130010135</v>
      </c>
      <c r="G89" s="64" t="s">
        <v>188</v>
      </c>
      <c r="H89" s="64" t="s">
        <v>201</v>
      </c>
      <c r="I89" s="64" t="s">
        <v>331</v>
      </c>
      <c r="J89" s="171">
        <v>10014</v>
      </c>
      <c r="K89" s="210">
        <v>1</v>
      </c>
      <c r="L89" s="68" t="s">
        <v>217</v>
      </c>
      <c r="M89" s="67"/>
      <c r="N89" s="68" t="s">
        <v>728</v>
      </c>
      <c r="O89" s="68">
        <v>15578</v>
      </c>
      <c r="P89" s="211">
        <v>15250</v>
      </c>
      <c r="Q89" s="67">
        <v>264</v>
      </c>
      <c r="R89" s="67"/>
      <c r="S89" s="186">
        <v>45660</v>
      </c>
      <c r="T89" s="186">
        <v>46022</v>
      </c>
      <c r="U89" s="187">
        <f t="shared" si="3"/>
        <v>362</v>
      </c>
      <c r="V89" s="64">
        <v>15250</v>
      </c>
      <c r="W89" s="68" t="s">
        <v>267</v>
      </c>
      <c r="X89" s="67" t="s">
        <v>275</v>
      </c>
      <c r="Y89" s="64" t="s">
        <v>365</v>
      </c>
      <c r="Z89" s="64" t="s">
        <v>366</v>
      </c>
      <c r="AA89" s="69" t="s">
        <v>266</v>
      </c>
      <c r="AB89" s="129" t="s">
        <v>508</v>
      </c>
      <c r="AC89" s="130">
        <v>170000000</v>
      </c>
      <c r="AD89" s="67" t="s">
        <v>47</v>
      </c>
      <c r="AE89" s="67" t="s">
        <v>41</v>
      </c>
      <c r="AF89" s="67"/>
      <c r="AG89" s="67"/>
      <c r="AH89" s="588"/>
      <c r="AI89" s="591"/>
      <c r="AJ89" s="67"/>
      <c r="AK89" s="67"/>
      <c r="AL89" s="67"/>
      <c r="AM89" s="594"/>
      <c r="AN89" s="68" t="s">
        <v>180</v>
      </c>
      <c r="AO89" s="148" t="s">
        <v>672</v>
      </c>
      <c r="AP89" s="578"/>
      <c r="AQ89" s="578"/>
      <c r="AR89" s="597"/>
      <c r="AS89" s="578"/>
      <c r="AT89" s="578"/>
      <c r="AU89" s="578"/>
      <c r="AV89" s="578"/>
      <c r="AW89" s="4"/>
      <c r="AX89" s="4"/>
      <c r="AY89" s="4"/>
      <c r="AZ89" s="4"/>
      <c r="BA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row>
    <row r="90" spans="1:119" s="156" customFormat="1" ht="55.2">
      <c r="A90" s="64" t="s">
        <v>172</v>
      </c>
      <c r="B90" s="64" t="s">
        <v>113</v>
      </c>
      <c r="C90" s="65" t="s">
        <v>277</v>
      </c>
      <c r="D90" s="64" t="s">
        <v>131</v>
      </c>
      <c r="E90" s="64" t="s">
        <v>180</v>
      </c>
      <c r="F90" s="66">
        <v>2024130010135</v>
      </c>
      <c r="G90" s="64" t="s">
        <v>188</v>
      </c>
      <c r="H90" s="64" t="s">
        <v>201</v>
      </c>
      <c r="I90" s="64" t="s">
        <v>331</v>
      </c>
      <c r="J90" s="171">
        <v>10014</v>
      </c>
      <c r="K90" s="210">
        <v>1</v>
      </c>
      <c r="L90" s="68" t="s">
        <v>217</v>
      </c>
      <c r="M90" s="67"/>
      <c r="N90" s="68" t="s">
        <v>728</v>
      </c>
      <c r="O90" s="68">
        <v>15578</v>
      </c>
      <c r="P90" s="211">
        <v>15250</v>
      </c>
      <c r="Q90" s="67">
        <v>264</v>
      </c>
      <c r="R90" s="67"/>
      <c r="S90" s="186">
        <v>45660</v>
      </c>
      <c r="T90" s="186">
        <v>46022</v>
      </c>
      <c r="U90" s="187">
        <f t="shared" si="3"/>
        <v>362</v>
      </c>
      <c r="V90" s="64">
        <v>15250</v>
      </c>
      <c r="W90" s="68" t="s">
        <v>267</v>
      </c>
      <c r="X90" s="67" t="s">
        <v>275</v>
      </c>
      <c r="Y90" s="64" t="s">
        <v>367</v>
      </c>
      <c r="Z90" s="64" t="s">
        <v>368</v>
      </c>
      <c r="AA90" s="69" t="s">
        <v>266</v>
      </c>
      <c r="AB90" s="129" t="s">
        <v>586</v>
      </c>
      <c r="AC90" s="130">
        <v>480000000</v>
      </c>
      <c r="AD90" s="68" t="s">
        <v>45</v>
      </c>
      <c r="AE90" s="67" t="s">
        <v>41</v>
      </c>
      <c r="AF90" s="67"/>
      <c r="AG90" s="67"/>
      <c r="AH90" s="588"/>
      <c r="AI90" s="591"/>
      <c r="AJ90" s="67"/>
      <c r="AK90" s="67"/>
      <c r="AL90" s="67"/>
      <c r="AM90" s="594"/>
      <c r="AN90" s="68" t="s">
        <v>180</v>
      </c>
      <c r="AO90" s="148" t="s">
        <v>672</v>
      </c>
      <c r="AP90" s="578"/>
      <c r="AQ90" s="578"/>
      <c r="AR90" s="597"/>
      <c r="AS90" s="578"/>
      <c r="AT90" s="578"/>
      <c r="AU90" s="578"/>
      <c r="AV90" s="578"/>
      <c r="AW90" s="4"/>
      <c r="AX90" s="4"/>
      <c r="AY90" s="4"/>
      <c r="AZ90" s="4"/>
      <c r="BA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row>
    <row r="91" spans="1:119" s="156" customFormat="1" ht="55.2">
      <c r="A91" s="64" t="s">
        <v>172</v>
      </c>
      <c r="B91" s="64" t="s">
        <v>113</v>
      </c>
      <c r="C91" s="65" t="s">
        <v>277</v>
      </c>
      <c r="D91" s="64" t="s">
        <v>131</v>
      </c>
      <c r="E91" s="64" t="s">
        <v>180</v>
      </c>
      <c r="F91" s="66">
        <v>2024130010135</v>
      </c>
      <c r="G91" s="64" t="s">
        <v>188</v>
      </c>
      <c r="H91" s="64" t="s">
        <v>201</v>
      </c>
      <c r="I91" s="64" t="s">
        <v>331</v>
      </c>
      <c r="J91" s="171">
        <v>10014</v>
      </c>
      <c r="K91" s="210">
        <v>1</v>
      </c>
      <c r="L91" s="68" t="s">
        <v>218</v>
      </c>
      <c r="M91" s="67"/>
      <c r="N91" s="68" t="s">
        <v>728</v>
      </c>
      <c r="O91" s="68">
        <v>15578</v>
      </c>
      <c r="P91" s="211">
        <v>15250</v>
      </c>
      <c r="Q91" s="67">
        <v>264</v>
      </c>
      <c r="R91" s="67"/>
      <c r="S91" s="186">
        <v>45660</v>
      </c>
      <c r="T91" s="186">
        <v>46022</v>
      </c>
      <c r="U91" s="187">
        <f t="shared" si="3"/>
        <v>362</v>
      </c>
      <c r="V91" s="64">
        <v>15250</v>
      </c>
      <c r="W91" s="68" t="s">
        <v>267</v>
      </c>
      <c r="X91" s="67" t="s">
        <v>275</v>
      </c>
      <c r="Y91" s="64" t="s">
        <v>369</v>
      </c>
      <c r="Z91" s="64" t="s">
        <v>370</v>
      </c>
      <c r="AA91" s="69" t="s">
        <v>266</v>
      </c>
      <c r="AB91" s="129" t="s">
        <v>508</v>
      </c>
      <c r="AC91" s="130">
        <v>170000000</v>
      </c>
      <c r="AD91" s="67" t="s">
        <v>47</v>
      </c>
      <c r="AE91" s="67" t="s">
        <v>41</v>
      </c>
      <c r="AF91" s="67"/>
      <c r="AG91" s="67"/>
      <c r="AH91" s="588"/>
      <c r="AI91" s="591"/>
      <c r="AJ91" s="67"/>
      <c r="AK91" s="67"/>
      <c r="AL91" s="67"/>
      <c r="AM91" s="594"/>
      <c r="AN91" s="68" t="s">
        <v>180</v>
      </c>
      <c r="AO91" s="148" t="s">
        <v>672</v>
      </c>
      <c r="AP91" s="578"/>
      <c r="AQ91" s="578"/>
      <c r="AR91" s="597"/>
      <c r="AS91" s="578"/>
      <c r="AT91" s="578"/>
      <c r="AU91" s="578"/>
      <c r="AV91" s="578"/>
      <c r="AW91" s="4"/>
      <c r="AX91" s="4"/>
      <c r="AY91" s="4"/>
      <c r="AZ91" s="4"/>
      <c r="BA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row>
    <row r="92" spans="1:119" s="156" customFormat="1" ht="55.2">
      <c r="A92" s="64" t="s">
        <v>172</v>
      </c>
      <c r="B92" s="64" t="s">
        <v>113</v>
      </c>
      <c r="C92" s="65" t="s">
        <v>277</v>
      </c>
      <c r="D92" s="64" t="s">
        <v>131</v>
      </c>
      <c r="E92" s="64" t="s">
        <v>180</v>
      </c>
      <c r="F92" s="66">
        <v>2024130010135</v>
      </c>
      <c r="G92" s="64" t="s">
        <v>188</v>
      </c>
      <c r="H92" s="64" t="s">
        <v>242</v>
      </c>
      <c r="I92" s="64" t="s">
        <v>331</v>
      </c>
      <c r="J92" s="171">
        <v>10014</v>
      </c>
      <c r="K92" s="210">
        <v>1</v>
      </c>
      <c r="L92" s="68" t="s">
        <v>218</v>
      </c>
      <c r="M92" s="67"/>
      <c r="N92" s="68" t="s">
        <v>728</v>
      </c>
      <c r="O92" s="68">
        <v>15578</v>
      </c>
      <c r="P92" s="211">
        <v>15250</v>
      </c>
      <c r="Q92" s="67">
        <v>264</v>
      </c>
      <c r="R92" s="67"/>
      <c r="S92" s="186">
        <v>45660</v>
      </c>
      <c r="T92" s="186">
        <v>46022</v>
      </c>
      <c r="U92" s="187">
        <f t="shared" si="3"/>
        <v>362</v>
      </c>
      <c r="V92" s="64">
        <v>15250</v>
      </c>
      <c r="W92" s="68" t="s">
        <v>267</v>
      </c>
      <c r="X92" s="67" t="s">
        <v>275</v>
      </c>
      <c r="Y92" s="64" t="s">
        <v>371</v>
      </c>
      <c r="Z92" s="64" t="s">
        <v>372</v>
      </c>
      <c r="AA92" s="69" t="s">
        <v>266</v>
      </c>
      <c r="AB92" s="129" t="s">
        <v>587</v>
      </c>
      <c r="AC92" s="130">
        <v>540000000</v>
      </c>
      <c r="AD92" s="68" t="s">
        <v>45</v>
      </c>
      <c r="AE92" s="67" t="s">
        <v>41</v>
      </c>
      <c r="AF92" s="67"/>
      <c r="AG92" s="67"/>
      <c r="AH92" s="588"/>
      <c r="AI92" s="591"/>
      <c r="AJ92" s="67"/>
      <c r="AK92" s="67"/>
      <c r="AL92" s="67"/>
      <c r="AM92" s="594"/>
      <c r="AN92" s="68" t="s">
        <v>180</v>
      </c>
      <c r="AO92" s="148" t="s">
        <v>672</v>
      </c>
      <c r="AP92" s="578"/>
      <c r="AQ92" s="578"/>
      <c r="AR92" s="597"/>
      <c r="AS92" s="578"/>
      <c r="AT92" s="578"/>
      <c r="AU92" s="578"/>
      <c r="AV92" s="578"/>
      <c r="AW92" s="4"/>
      <c r="AX92" s="4"/>
      <c r="AY92" s="4"/>
      <c r="AZ92" s="4"/>
      <c r="BA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row>
    <row r="93" spans="1:119" s="156" customFormat="1" ht="82.8">
      <c r="A93" s="64" t="s">
        <v>172</v>
      </c>
      <c r="B93" s="64" t="s">
        <v>113</v>
      </c>
      <c r="C93" s="65" t="s">
        <v>277</v>
      </c>
      <c r="D93" s="64" t="s">
        <v>131</v>
      </c>
      <c r="E93" s="64" t="s">
        <v>180</v>
      </c>
      <c r="F93" s="66">
        <v>2024130010135</v>
      </c>
      <c r="G93" s="64" t="s">
        <v>188</v>
      </c>
      <c r="H93" s="64" t="s">
        <v>242</v>
      </c>
      <c r="I93" s="64" t="s">
        <v>331</v>
      </c>
      <c r="J93" s="171">
        <v>10014</v>
      </c>
      <c r="K93" s="210">
        <v>1</v>
      </c>
      <c r="L93" s="68" t="s">
        <v>216</v>
      </c>
      <c r="M93" s="67"/>
      <c r="N93" s="68" t="s">
        <v>728</v>
      </c>
      <c r="O93" s="68">
        <v>15578</v>
      </c>
      <c r="P93" s="211">
        <v>15250</v>
      </c>
      <c r="Q93" s="67">
        <v>264</v>
      </c>
      <c r="R93" s="67"/>
      <c r="S93" s="186">
        <v>45660</v>
      </c>
      <c r="T93" s="186">
        <v>46022</v>
      </c>
      <c r="U93" s="187">
        <f t="shared" si="3"/>
        <v>362</v>
      </c>
      <c r="V93" s="64">
        <v>15250</v>
      </c>
      <c r="W93" s="68" t="s">
        <v>267</v>
      </c>
      <c r="X93" s="67" t="s">
        <v>275</v>
      </c>
      <c r="Y93" s="64" t="s">
        <v>340</v>
      </c>
      <c r="Z93" s="64" t="s">
        <v>341</v>
      </c>
      <c r="AA93" s="69" t="s">
        <v>266</v>
      </c>
      <c r="AB93" s="129" t="s">
        <v>508</v>
      </c>
      <c r="AC93" s="130">
        <v>180000000</v>
      </c>
      <c r="AD93" s="67" t="s">
        <v>47</v>
      </c>
      <c r="AE93" s="67" t="s">
        <v>41</v>
      </c>
      <c r="AF93" s="67"/>
      <c r="AG93" s="67"/>
      <c r="AH93" s="588"/>
      <c r="AI93" s="591"/>
      <c r="AJ93" s="67"/>
      <c r="AK93" s="67"/>
      <c r="AL93" s="67"/>
      <c r="AM93" s="594"/>
      <c r="AN93" s="68" t="s">
        <v>180</v>
      </c>
      <c r="AO93" s="148" t="s">
        <v>672</v>
      </c>
      <c r="AP93" s="578"/>
      <c r="AQ93" s="578"/>
      <c r="AR93" s="597"/>
      <c r="AS93" s="578"/>
      <c r="AT93" s="578"/>
      <c r="AU93" s="578"/>
      <c r="AV93" s="578"/>
      <c r="AW93" s="4"/>
      <c r="AX93" s="4"/>
      <c r="AY93" s="4"/>
      <c r="AZ93" s="4"/>
      <c r="BA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row>
    <row r="94" spans="1:119" s="156" customFormat="1" ht="82.8">
      <c r="A94" s="64" t="s">
        <v>172</v>
      </c>
      <c r="B94" s="64" t="s">
        <v>113</v>
      </c>
      <c r="C94" s="65" t="s">
        <v>277</v>
      </c>
      <c r="D94" s="64" t="s">
        <v>131</v>
      </c>
      <c r="E94" s="64" t="s">
        <v>180</v>
      </c>
      <c r="F94" s="66">
        <v>2024130010135</v>
      </c>
      <c r="G94" s="64" t="s">
        <v>188</v>
      </c>
      <c r="H94" s="64" t="s">
        <v>242</v>
      </c>
      <c r="I94" s="64" t="s">
        <v>331</v>
      </c>
      <c r="J94" s="171">
        <v>10014</v>
      </c>
      <c r="K94" s="210">
        <v>1</v>
      </c>
      <c r="L94" s="68" t="s">
        <v>216</v>
      </c>
      <c r="M94" s="67"/>
      <c r="N94" s="68" t="s">
        <v>728</v>
      </c>
      <c r="O94" s="68">
        <v>15578</v>
      </c>
      <c r="P94" s="211">
        <v>15250</v>
      </c>
      <c r="Q94" s="67">
        <v>264</v>
      </c>
      <c r="R94" s="67"/>
      <c r="S94" s="186">
        <v>45660</v>
      </c>
      <c r="T94" s="186">
        <v>46022</v>
      </c>
      <c r="U94" s="187">
        <f t="shared" si="3"/>
        <v>362</v>
      </c>
      <c r="V94" s="64">
        <v>15250</v>
      </c>
      <c r="W94" s="68" t="s">
        <v>267</v>
      </c>
      <c r="X94" s="67" t="s">
        <v>275</v>
      </c>
      <c r="Y94" s="64" t="s">
        <v>340</v>
      </c>
      <c r="Z94" s="64" t="s">
        <v>341</v>
      </c>
      <c r="AA94" s="69" t="s">
        <v>266</v>
      </c>
      <c r="AB94" s="129" t="s">
        <v>588</v>
      </c>
      <c r="AC94" s="130">
        <v>1400000000</v>
      </c>
      <c r="AD94" s="68" t="s">
        <v>45</v>
      </c>
      <c r="AE94" s="67" t="s">
        <v>41</v>
      </c>
      <c r="AF94" s="67"/>
      <c r="AG94" s="67"/>
      <c r="AH94" s="588"/>
      <c r="AI94" s="591"/>
      <c r="AJ94" s="67"/>
      <c r="AK94" s="67"/>
      <c r="AL94" s="67"/>
      <c r="AM94" s="594"/>
      <c r="AN94" s="68" t="s">
        <v>180</v>
      </c>
      <c r="AO94" s="148" t="s">
        <v>672</v>
      </c>
      <c r="AP94" s="578"/>
      <c r="AQ94" s="578"/>
      <c r="AR94" s="597"/>
      <c r="AS94" s="578"/>
      <c r="AT94" s="578"/>
      <c r="AU94" s="578"/>
      <c r="AV94" s="578"/>
      <c r="AW94" s="4"/>
      <c r="AX94" s="4"/>
      <c r="AY94" s="4"/>
      <c r="AZ94" s="4"/>
      <c r="BA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row>
    <row r="95" spans="1:119" s="156" customFormat="1" ht="82.8">
      <c r="A95" s="64" t="s">
        <v>172</v>
      </c>
      <c r="B95" s="64" t="s">
        <v>113</v>
      </c>
      <c r="C95" s="65" t="s">
        <v>277</v>
      </c>
      <c r="D95" s="64" t="s">
        <v>131</v>
      </c>
      <c r="E95" s="64" t="s">
        <v>180</v>
      </c>
      <c r="F95" s="66">
        <v>2024130010135</v>
      </c>
      <c r="G95" s="64" t="s">
        <v>188</v>
      </c>
      <c r="H95" s="64" t="s">
        <v>242</v>
      </c>
      <c r="I95" s="64" t="s">
        <v>331</v>
      </c>
      <c r="J95" s="171">
        <v>10014</v>
      </c>
      <c r="K95" s="210">
        <v>1</v>
      </c>
      <c r="L95" s="68" t="s">
        <v>243</v>
      </c>
      <c r="M95" s="67"/>
      <c r="N95" s="68" t="s">
        <v>729</v>
      </c>
      <c r="O95" s="68">
        <v>15578</v>
      </c>
      <c r="P95" s="211">
        <v>15250</v>
      </c>
      <c r="Q95" s="67">
        <v>264</v>
      </c>
      <c r="R95" s="67"/>
      <c r="S95" s="186">
        <v>45660</v>
      </c>
      <c r="T95" s="186">
        <v>46022</v>
      </c>
      <c r="U95" s="187">
        <f t="shared" si="3"/>
        <v>362</v>
      </c>
      <c r="V95" s="64">
        <v>15250</v>
      </c>
      <c r="W95" s="68" t="s">
        <v>267</v>
      </c>
      <c r="X95" s="67" t="s">
        <v>275</v>
      </c>
      <c r="Y95" s="64" t="s">
        <v>340</v>
      </c>
      <c r="Z95" s="64" t="s">
        <v>341</v>
      </c>
      <c r="AA95" s="69" t="s">
        <v>266</v>
      </c>
      <c r="AB95" s="129" t="s">
        <v>508</v>
      </c>
      <c r="AC95" s="130">
        <v>17092532</v>
      </c>
      <c r="AD95" s="67" t="s">
        <v>47</v>
      </c>
      <c r="AE95" s="67" t="s">
        <v>41</v>
      </c>
      <c r="AF95" s="67"/>
      <c r="AG95" s="67"/>
      <c r="AH95" s="588"/>
      <c r="AI95" s="591"/>
      <c r="AJ95" s="67"/>
      <c r="AK95" s="67"/>
      <c r="AL95" s="67"/>
      <c r="AM95" s="594"/>
      <c r="AN95" s="68" t="s">
        <v>180</v>
      </c>
      <c r="AO95" s="148" t="s">
        <v>672</v>
      </c>
      <c r="AP95" s="578"/>
      <c r="AQ95" s="578"/>
      <c r="AR95" s="597"/>
      <c r="AS95" s="578"/>
      <c r="AT95" s="578"/>
      <c r="AU95" s="578"/>
      <c r="AV95" s="578"/>
      <c r="AW95" s="4"/>
      <c r="AX95" s="4"/>
      <c r="AY95" s="4"/>
      <c r="AZ95" s="4"/>
      <c r="BA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row>
    <row r="96" spans="1:119" s="156" customFormat="1" ht="82.8">
      <c r="A96" s="64" t="s">
        <v>172</v>
      </c>
      <c r="B96" s="64" t="s">
        <v>113</v>
      </c>
      <c r="C96" s="65" t="s">
        <v>277</v>
      </c>
      <c r="D96" s="64" t="s">
        <v>131</v>
      </c>
      <c r="E96" s="64" t="s">
        <v>180</v>
      </c>
      <c r="F96" s="66">
        <v>2024130010135</v>
      </c>
      <c r="G96" s="64" t="s">
        <v>188</v>
      </c>
      <c r="H96" s="64" t="s">
        <v>242</v>
      </c>
      <c r="I96" s="64" t="s">
        <v>331</v>
      </c>
      <c r="J96" s="171">
        <v>10014</v>
      </c>
      <c r="K96" s="210">
        <v>1</v>
      </c>
      <c r="L96" s="68" t="s">
        <v>243</v>
      </c>
      <c r="M96" s="67"/>
      <c r="N96" s="68" t="s">
        <v>729</v>
      </c>
      <c r="O96" s="68">
        <v>15578</v>
      </c>
      <c r="P96" s="211">
        <v>15250</v>
      </c>
      <c r="Q96" s="67">
        <v>264</v>
      </c>
      <c r="R96" s="67"/>
      <c r="S96" s="186">
        <v>45660</v>
      </c>
      <c r="T96" s="186">
        <v>46022</v>
      </c>
      <c r="U96" s="187">
        <f t="shared" si="3"/>
        <v>362</v>
      </c>
      <c r="V96" s="64">
        <v>15250</v>
      </c>
      <c r="W96" s="68" t="s">
        <v>267</v>
      </c>
      <c r="X96" s="67" t="s">
        <v>275</v>
      </c>
      <c r="Y96" s="64" t="s">
        <v>340</v>
      </c>
      <c r="Z96" s="64" t="s">
        <v>341</v>
      </c>
      <c r="AA96" s="69" t="s">
        <v>266</v>
      </c>
      <c r="AB96" s="129" t="s">
        <v>582</v>
      </c>
      <c r="AC96" s="130">
        <v>400000000</v>
      </c>
      <c r="AD96" s="68" t="s">
        <v>45</v>
      </c>
      <c r="AE96" s="67" t="s">
        <v>41</v>
      </c>
      <c r="AF96" s="67"/>
      <c r="AG96" s="67"/>
      <c r="AH96" s="588"/>
      <c r="AI96" s="591"/>
      <c r="AJ96" s="67"/>
      <c r="AK96" s="67"/>
      <c r="AL96" s="67"/>
      <c r="AM96" s="594"/>
      <c r="AN96" s="68" t="s">
        <v>180</v>
      </c>
      <c r="AO96" s="148" t="s">
        <v>672</v>
      </c>
      <c r="AP96" s="578"/>
      <c r="AQ96" s="578"/>
      <c r="AR96" s="597"/>
      <c r="AS96" s="578"/>
      <c r="AT96" s="578"/>
      <c r="AU96" s="578"/>
      <c r="AV96" s="578"/>
      <c r="AW96" s="4"/>
      <c r="AX96" s="4"/>
      <c r="AY96" s="4"/>
      <c r="AZ96" s="4"/>
      <c r="BA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row>
    <row r="97" spans="1:119" s="156" customFormat="1" ht="82.8">
      <c r="A97" s="64" t="s">
        <v>172</v>
      </c>
      <c r="B97" s="64" t="s">
        <v>113</v>
      </c>
      <c r="C97" s="65" t="s">
        <v>277</v>
      </c>
      <c r="D97" s="64" t="s">
        <v>131</v>
      </c>
      <c r="E97" s="64" t="s">
        <v>180</v>
      </c>
      <c r="F97" s="66">
        <v>2024130010135</v>
      </c>
      <c r="G97" s="64" t="s">
        <v>188</v>
      </c>
      <c r="H97" s="64" t="s">
        <v>242</v>
      </c>
      <c r="I97" s="64" t="s">
        <v>331</v>
      </c>
      <c r="J97" s="171">
        <v>10014</v>
      </c>
      <c r="K97" s="210">
        <v>1</v>
      </c>
      <c r="L97" s="68" t="s">
        <v>211</v>
      </c>
      <c r="M97" s="67"/>
      <c r="N97" s="68" t="s">
        <v>578</v>
      </c>
      <c r="O97" s="68">
        <v>15578</v>
      </c>
      <c r="P97" s="211">
        <f>6*4</f>
        <v>24</v>
      </c>
      <c r="Q97" s="67">
        <v>264</v>
      </c>
      <c r="R97" s="67"/>
      <c r="S97" s="186">
        <v>45660</v>
      </c>
      <c r="T97" s="186">
        <v>46022</v>
      </c>
      <c r="U97" s="187">
        <f t="shared" si="3"/>
        <v>362</v>
      </c>
      <c r="V97" s="64">
        <v>15250</v>
      </c>
      <c r="W97" s="68" t="s">
        <v>267</v>
      </c>
      <c r="X97" s="67" t="s">
        <v>275</v>
      </c>
      <c r="Y97" s="64" t="s">
        <v>340</v>
      </c>
      <c r="Z97" s="64" t="s">
        <v>341</v>
      </c>
      <c r="AA97" s="69" t="s">
        <v>266</v>
      </c>
      <c r="AB97" s="129" t="s">
        <v>581</v>
      </c>
      <c r="AC97" s="130">
        <v>100000000</v>
      </c>
      <c r="AD97" s="68" t="s">
        <v>44</v>
      </c>
      <c r="AE97" s="67" t="s">
        <v>41</v>
      </c>
      <c r="AF97" s="67"/>
      <c r="AG97" s="67"/>
      <c r="AH97" s="589"/>
      <c r="AI97" s="592"/>
      <c r="AJ97" s="67"/>
      <c r="AK97" s="67"/>
      <c r="AL97" s="67"/>
      <c r="AM97" s="595"/>
      <c r="AN97" s="68" t="s">
        <v>180</v>
      </c>
      <c r="AO97" s="148" t="s">
        <v>672</v>
      </c>
      <c r="AP97" s="579"/>
      <c r="AQ97" s="579"/>
      <c r="AR97" s="598"/>
      <c r="AS97" s="579"/>
      <c r="AT97" s="579"/>
      <c r="AU97" s="579"/>
      <c r="AV97" s="579"/>
      <c r="AW97" s="4"/>
      <c r="AX97" s="4"/>
      <c r="AY97" s="4"/>
      <c r="AZ97" s="4"/>
      <c r="BA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row>
    <row r="98" spans="1:119" s="156" customFormat="1" ht="72" customHeight="1">
      <c r="A98" s="64"/>
      <c r="B98" s="64"/>
      <c r="C98" s="65"/>
      <c r="D98" s="64"/>
      <c r="E98" s="513" t="s">
        <v>694</v>
      </c>
      <c r="F98" s="514"/>
      <c r="G98" s="514"/>
      <c r="H98" s="514"/>
      <c r="I98" s="514"/>
      <c r="J98" s="514"/>
      <c r="K98" s="514"/>
      <c r="L98" s="514"/>
      <c r="M98" s="514"/>
      <c r="N98" s="514"/>
      <c r="O98" s="514"/>
      <c r="P98" s="514"/>
      <c r="Q98" s="515"/>
      <c r="R98" s="67"/>
      <c r="S98" s="186"/>
      <c r="T98" s="186"/>
      <c r="U98" s="187"/>
      <c r="V98" s="64"/>
      <c r="W98" s="68"/>
      <c r="X98" s="67"/>
      <c r="Y98" s="64"/>
      <c r="Z98" s="64"/>
      <c r="AA98" s="69"/>
      <c r="AB98" s="129"/>
      <c r="AC98" s="130"/>
      <c r="AD98" s="68"/>
      <c r="AE98" s="67"/>
      <c r="AF98" s="67"/>
      <c r="AG98" s="67"/>
      <c r="AH98" s="289"/>
      <c r="AI98" s="290"/>
      <c r="AJ98" s="67"/>
      <c r="AK98" s="67"/>
      <c r="AL98" s="67"/>
      <c r="AM98" s="288"/>
      <c r="AN98" s="68"/>
      <c r="AO98" s="318" t="s">
        <v>689</v>
      </c>
      <c r="AP98" s="309">
        <f>SUM(AP86)</f>
        <v>4193305880.3099999</v>
      </c>
      <c r="AQ98" s="309">
        <f>SUM(AQ86)</f>
        <v>2301233000</v>
      </c>
      <c r="AR98" s="338">
        <f>SUM(AR86)</f>
        <v>0.54879999999999995</v>
      </c>
      <c r="AS98" s="309">
        <f>SUM(AS86)</f>
        <v>0</v>
      </c>
      <c r="AT98" s="309">
        <f>SUM(AT86)</f>
        <v>0</v>
      </c>
      <c r="AU98" s="339">
        <v>0</v>
      </c>
      <c r="AV98" s="339">
        <v>0</v>
      </c>
      <c r="AW98" s="4"/>
      <c r="AX98" s="4"/>
      <c r="AY98" s="4"/>
      <c r="AZ98" s="4"/>
      <c r="BA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row>
    <row r="99" spans="1:119" s="157" customFormat="1" ht="220.8">
      <c r="A99" s="70" t="s">
        <v>174</v>
      </c>
      <c r="B99" s="70" t="s">
        <v>114</v>
      </c>
      <c r="C99" s="71" t="s">
        <v>278</v>
      </c>
      <c r="D99" s="70" t="s">
        <v>132</v>
      </c>
      <c r="E99" s="76" t="s">
        <v>181</v>
      </c>
      <c r="F99" s="72">
        <v>2024130010129</v>
      </c>
      <c r="G99" s="70" t="s">
        <v>189</v>
      </c>
      <c r="H99" s="70" t="s">
        <v>220</v>
      </c>
      <c r="I99" s="70" t="s">
        <v>332</v>
      </c>
      <c r="J99" s="183">
        <v>4292</v>
      </c>
      <c r="K99" s="210">
        <v>0.55000000000000004</v>
      </c>
      <c r="L99" s="73" t="s">
        <v>221</v>
      </c>
      <c r="M99" s="73"/>
      <c r="N99" s="73" t="s">
        <v>730</v>
      </c>
      <c r="O99" s="73">
        <v>57272</v>
      </c>
      <c r="P99" s="211">
        <v>47300</v>
      </c>
      <c r="Q99" s="74">
        <v>4292</v>
      </c>
      <c r="R99" s="74"/>
      <c r="S99" s="186">
        <v>45660</v>
      </c>
      <c r="T99" s="186">
        <v>46022</v>
      </c>
      <c r="U99" s="187">
        <f t="shared" si="3"/>
        <v>362</v>
      </c>
      <c r="V99" s="183">
        <v>47300</v>
      </c>
      <c r="W99" s="73" t="s">
        <v>267</v>
      </c>
      <c r="X99" s="74" t="s">
        <v>283</v>
      </c>
      <c r="Y99" s="70" t="s">
        <v>342</v>
      </c>
      <c r="Z99" s="70" t="s">
        <v>343</v>
      </c>
      <c r="AA99" s="75" t="s">
        <v>266</v>
      </c>
      <c r="AB99" s="104" t="s">
        <v>511</v>
      </c>
      <c r="AC99" s="76">
        <v>49140000</v>
      </c>
      <c r="AD99" s="74" t="s">
        <v>47</v>
      </c>
      <c r="AE99" s="74" t="s">
        <v>41</v>
      </c>
      <c r="AF99" s="74"/>
      <c r="AG99" s="74"/>
      <c r="AH99" s="581">
        <v>2103471540</v>
      </c>
      <c r="AI99" s="583"/>
      <c r="AJ99" s="74"/>
      <c r="AK99" s="74"/>
      <c r="AL99" s="74"/>
      <c r="AM99" s="585" t="s">
        <v>565</v>
      </c>
      <c r="AN99" s="73" t="s">
        <v>181</v>
      </c>
      <c r="AO99" s="73" t="s">
        <v>663</v>
      </c>
      <c r="AP99" s="574">
        <v>2572740622.8499999</v>
      </c>
      <c r="AQ99" s="574">
        <v>489232000</v>
      </c>
      <c r="AR99" s="572">
        <v>0.19020000000000001</v>
      </c>
      <c r="AS99" s="574">
        <v>0</v>
      </c>
      <c r="AT99" s="574">
        <v>0</v>
      </c>
      <c r="AU99" s="576">
        <v>0</v>
      </c>
      <c r="AV99" s="576">
        <v>0</v>
      </c>
      <c r="AW99" s="4"/>
      <c r="AX99" s="4"/>
      <c r="AY99" s="4"/>
      <c r="AZ99" s="4"/>
      <c r="BA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row>
    <row r="100" spans="1:119" s="157" customFormat="1" ht="220.8">
      <c r="A100" s="70" t="s">
        <v>174</v>
      </c>
      <c r="B100" s="70" t="s">
        <v>114</v>
      </c>
      <c r="C100" s="71" t="s">
        <v>278</v>
      </c>
      <c r="D100" s="70" t="s">
        <v>132</v>
      </c>
      <c r="E100" s="76" t="s">
        <v>181</v>
      </c>
      <c r="F100" s="72">
        <v>2024130010129</v>
      </c>
      <c r="G100" s="70" t="s">
        <v>189</v>
      </c>
      <c r="H100" s="70" t="s">
        <v>220</v>
      </c>
      <c r="I100" s="70" t="s">
        <v>332</v>
      </c>
      <c r="J100" s="183">
        <v>4292</v>
      </c>
      <c r="K100" s="210">
        <v>0.55000000000000004</v>
      </c>
      <c r="L100" s="73" t="s">
        <v>221</v>
      </c>
      <c r="M100" s="73"/>
      <c r="N100" s="73" t="s">
        <v>730</v>
      </c>
      <c r="O100" s="73">
        <v>57272</v>
      </c>
      <c r="P100" s="211">
        <v>47300</v>
      </c>
      <c r="Q100" s="74">
        <v>4292</v>
      </c>
      <c r="R100" s="74"/>
      <c r="S100" s="186">
        <v>45660</v>
      </c>
      <c r="T100" s="186">
        <v>46022</v>
      </c>
      <c r="U100" s="187">
        <f t="shared" si="3"/>
        <v>362</v>
      </c>
      <c r="V100" s="183">
        <v>47300</v>
      </c>
      <c r="W100" s="73" t="s">
        <v>267</v>
      </c>
      <c r="X100" s="74" t="s">
        <v>283</v>
      </c>
      <c r="Y100" s="70" t="s">
        <v>344</v>
      </c>
      <c r="Z100" s="70" t="s">
        <v>345</v>
      </c>
      <c r="AA100" s="75" t="s">
        <v>266</v>
      </c>
      <c r="AB100" s="104" t="s">
        <v>612</v>
      </c>
      <c r="AC100" s="76">
        <v>33509575</v>
      </c>
      <c r="AD100" s="73" t="s">
        <v>48</v>
      </c>
      <c r="AE100" s="74" t="s">
        <v>41</v>
      </c>
      <c r="AF100" s="74"/>
      <c r="AG100" s="74"/>
      <c r="AH100" s="582"/>
      <c r="AI100" s="584"/>
      <c r="AJ100" s="74"/>
      <c r="AK100" s="74"/>
      <c r="AL100" s="74"/>
      <c r="AM100" s="586"/>
      <c r="AN100" s="73" t="s">
        <v>181</v>
      </c>
      <c r="AO100" s="73" t="s">
        <v>663</v>
      </c>
      <c r="AP100" s="575"/>
      <c r="AQ100" s="575"/>
      <c r="AR100" s="573"/>
      <c r="AS100" s="575"/>
      <c r="AT100" s="575"/>
      <c r="AU100" s="575"/>
      <c r="AV100" s="575"/>
      <c r="AW100" s="4"/>
      <c r="AX100" s="4"/>
      <c r="AY100" s="4"/>
      <c r="AZ100" s="4"/>
      <c r="BA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row>
    <row r="101" spans="1:119" s="157" customFormat="1" ht="220.8">
      <c r="A101" s="70" t="s">
        <v>174</v>
      </c>
      <c r="B101" s="70" t="s">
        <v>114</v>
      </c>
      <c r="C101" s="71" t="s">
        <v>278</v>
      </c>
      <c r="D101" s="70" t="s">
        <v>132</v>
      </c>
      <c r="E101" s="76" t="s">
        <v>181</v>
      </c>
      <c r="F101" s="72">
        <v>2024130010129</v>
      </c>
      <c r="G101" s="70" t="s">
        <v>189</v>
      </c>
      <c r="H101" s="104" t="s">
        <v>220</v>
      </c>
      <c r="I101" s="70" t="s">
        <v>332</v>
      </c>
      <c r="J101" s="183">
        <v>4292</v>
      </c>
      <c r="K101" s="210">
        <v>0.55000000000000004</v>
      </c>
      <c r="L101" s="73" t="s">
        <v>222</v>
      </c>
      <c r="M101" s="73"/>
      <c r="N101" s="73" t="s">
        <v>578</v>
      </c>
      <c r="O101" s="73">
        <v>57272</v>
      </c>
      <c r="P101" s="211">
        <v>20</v>
      </c>
      <c r="Q101" s="74">
        <v>4292</v>
      </c>
      <c r="R101" s="74"/>
      <c r="S101" s="186">
        <v>45660</v>
      </c>
      <c r="T101" s="186">
        <v>46022</v>
      </c>
      <c r="U101" s="187">
        <f t="shared" si="3"/>
        <v>362</v>
      </c>
      <c r="V101" s="183">
        <v>47300</v>
      </c>
      <c r="W101" s="73" t="s">
        <v>267</v>
      </c>
      <c r="X101" s="74" t="s">
        <v>283</v>
      </c>
      <c r="Y101" s="70" t="s">
        <v>362</v>
      </c>
      <c r="Z101" s="70" t="s">
        <v>351</v>
      </c>
      <c r="AA101" s="75" t="s">
        <v>266</v>
      </c>
      <c r="AB101" s="104" t="s">
        <v>511</v>
      </c>
      <c r="AC101" s="76">
        <v>51912000</v>
      </c>
      <c r="AD101" s="74" t="s">
        <v>47</v>
      </c>
      <c r="AE101" s="74" t="s">
        <v>41</v>
      </c>
      <c r="AF101" s="74"/>
      <c r="AG101" s="74"/>
      <c r="AH101" s="582"/>
      <c r="AI101" s="584"/>
      <c r="AJ101" s="74"/>
      <c r="AK101" s="74"/>
      <c r="AL101" s="74"/>
      <c r="AM101" s="586"/>
      <c r="AN101" s="73" t="s">
        <v>181</v>
      </c>
      <c r="AO101" s="73" t="s">
        <v>663</v>
      </c>
      <c r="AP101" s="575"/>
      <c r="AQ101" s="575"/>
      <c r="AR101" s="573"/>
      <c r="AS101" s="575"/>
      <c r="AT101" s="575"/>
      <c r="AU101" s="575"/>
      <c r="AV101" s="575"/>
      <c r="AW101" s="4"/>
      <c r="AX101" s="4"/>
      <c r="AY101" s="4"/>
      <c r="AZ101" s="4"/>
      <c r="BA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row>
    <row r="102" spans="1:119" s="157" customFormat="1" ht="220.8">
      <c r="A102" s="70" t="s">
        <v>174</v>
      </c>
      <c r="B102" s="70" t="s">
        <v>114</v>
      </c>
      <c r="C102" s="71" t="s">
        <v>278</v>
      </c>
      <c r="D102" s="70" t="s">
        <v>132</v>
      </c>
      <c r="E102" s="76" t="s">
        <v>181</v>
      </c>
      <c r="F102" s="72">
        <v>2024130010129</v>
      </c>
      <c r="G102" s="70" t="s">
        <v>189</v>
      </c>
      <c r="H102" s="70" t="s">
        <v>220</v>
      </c>
      <c r="I102" s="70" t="s">
        <v>332</v>
      </c>
      <c r="J102" s="183">
        <v>4292</v>
      </c>
      <c r="K102" s="210">
        <v>0.55000000000000004</v>
      </c>
      <c r="L102" s="73" t="s">
        <v>222</v>
      </c>
      <c r="M102" s="73"/>
      <c r="N102" s="73" t="s">
        <v>578</v>
      </c>
      <c r="O102" s="73">
        <v>57272</v>
      </c>
      <c r="P102" s="211">
        <v>20</v>
      </c>
      <c r="Q102" s="74">
        <v>4292</v>
      </c>
      <c r="R102" s="74"/>
      <c r="S102" s="186">
        <v>45660</v>
      </c>
      <c r="T102" s="186">
        <v>46022</v>
      </c>
      <c r="U102" s="187">
        <f t="shared" si="3"/>
        <v>362</v>
      </c>
      <c r="V102" s="183">
        <v>47300</v>
      </c>
      <c r="W102" s="73" t="s">
        <v>267</v>
      </c>
      <c r="X102" s="74" t="s">
        <v>283</v>
      </c>
      <c r="Y102" s="70" t="s">
        <v>344</v>
      </c>
      <c r="Z102" s="70" t="s">
        <v>345</v>
      </c>
      <c r="AA102" s="75" t="s">
        <v>266</v>
      </c>
      <c r="AB102" s="104" t="s">
        <v>581</v>
      </c>
      <c r="AC102" s="76">
        <v>100000000</v>
      </c>
      <c r="AD102" s="73" t="s">
        <v>44</v>
      </c>
      <c r="AE102" s="74" t="s">
        <v>41</v>
      </c>
      <c r="AF102" s="74"/>
      <c r="AG102" s="74"/>
      <c r="AH102" s="582"/>
      <c r="AI102" s="584"/>
      <c r="AJ102" s="74"/>
      <c r="AK102" s="74"/>
      <c r="AL102" s="74"/>
      <c r="AM102" s="586"/>
      <c r="AN102" s="73" t="s">
        <v>181</v>
      </c>
      <c r="AO102" s="73" t="s">
        <v>663</v>
      </c>
      <c r="AP102" s="575"/>
      <c r="AQ102" s="575"/>
      <c r="AR102" s="573"/>
      <c r="AS102" s="575"/>
      <c r="AT102" s="575"/>
      <c r="AU102" s="575"/>
      <c r="AV102" s="575"/>
      <c r="AW102" s="4"/>
      <c r="AX102" s="4"/>
      <c r="AY102" s="4"/>
      <c r="AZ102" s="4"/>
      <c r="BA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row>
    <row r="103" spans="1:119" s="157" customFormat="1" ht="220.8">
      <c r="A103" s="70" t="s">
        <v>174</v>
      </c>
      <c r="B103" s="70" t="s">
        <v>114</v>
      </c>
      <c r="C103" s="71" t="s">
        <v>278</v>
      </c>
      <c r="D103" s="70" t="s">
        <v>132</v>
      </c>
      <c r="E103" s="76" t="s">
        <v>181</v>
      </c>
      <c r="F103" s="72">
        <v>2024130010129</v>
      </c>
      <c r="G103" s="70" t="s">
        <v>189</v>
      </c>
      <c r="H103" s="70" t="s">
        <v>202</v>
      </c>
      <c r="I103" s="70" t="s">
        <v>332</v>
      </c>
      <c r="J103" s="183">
        <v>4292</v>
      </c>
      <c r="K103" s="210">
        <v>0.55000000000000004</v>
      </c>
      <c r="L103" s="73" t="s">
        <v>227</v>
      </c>
      <c r="M103" s="73"/>
      <c r="N103" s="73" t="s">
        <v>731</v>
      </c>
      <c r="O103" s="73">
        <v>57272</v>
      </c>
      <c r="P103" s="211">
        <v>47300</v>
      </c>
      <c r="Q103" s="74">
        <v>4292</v>
      </c>
      <c r="R103" s="74"/>
      <c r="S103" s="186">
        <v>45660</v>
      </c>
      <c r="T103" s="186">
        <v>46022</v>
      </c>
      <c r="U103" s="187">
        <f t="shared" si="3"/>
        <v>362</v>
      </c>
      <c r="V103" s="183">
        <v>47300</v>
      </c>
      <c r="W103" s="73" t="s">
        <v>267</v>
      </c>
      <c r="X103" s="74" t="s">
        <v>283</v>
      </c>
      <c r="Y103" s="70" t="s">
        <v>346</v>
      </c>
      <c r="Z103" s="70" t="s">
        <v>347</v>
      </c>
      <c r="AA103" s="75" t="s">
        <v>266</v>
      </c>
      <c r="AB103" s="104" t="s">
        <v>511</v>
      </c>
      <c r="AC103" s="76">
        <v>316512000</v>
      </c>
      <c r="AD103" s="74"/>
      <c r="AE103" s="104" t="s">
        <v>596</v>
      </c>
      <c r="AF103" s="74"/>
      <c r="AG103" s="74"/>
      <c r="AH103" s="582"/>
      <c r="AI103" s="584"/>
      <c r="AJ103" s="74"/>
      <c r="AK103" s="74"/>
      <c r="AL103" s="74"/>
      <c r="AM103" s="586"/>
      <c r="AN103" s="73" t="s">
        <v>181</v>
      </c>
      <c r="AO103" s="73" t="s">
        <v>663</v>
      </c>
      <c r="AP103" s="575"/>
      <c r="AQ103" s="575"/>
      <c r="AR103" s="573"/>
      <c r="AS103" s="575"/>
      <c r="AT103" s="575"/>
      <c r="AU103" s="575"/>
      <c r="AV103" s="575"/>
      <c r="AW103" s="4"/>
      <c r="AX103" s="4"/>
      <c r="AY103" s="4"/>
      <c r="AZ103" s="4"/>
      <c r="BA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row>
    <row r="104" spans="1:119" s="157" customFormat="1" ht="220.8">
      <c r="A104" s="70" t="s">
        <v>174</v>
      </c>
      <c r="B104" s="70" t="s">
        <v>114</v>
      </c>
      <c r="C104" s="71" t="s">
        <v>278</v>
      </c>
      <c r="D104" s="70" t="s">
        <v>132</v>
      </c>
      <c r="E104" s="76" t="s">
        <v>181</v>
      </c>
      <c r="F104" s="72">
        <v>2024130010129</v>
      </c>
      <c r="G104" s="70" t="s">
        <v>189</v>
      </c>
      <c r="H104" s="70" t="s">
        <v>202</v>
      </c>
      <c r="I104" s="70" t="s">
        <v>332</v>
      </c>
      <c r="J104" s="183">
        <v>4292</v>
      </c>
      <c r="K104" s="210">
        <v>0.55000000000000004</v>
      </c>
      <c r="L104" s="73" t="s">
        <v>227</v>
      </c>
      <c r="M104" s="73"/>
      <c r="N104" s="73" t="s">
        <v>732</v>
      </c>
      <c r="O104" s="73">
        <v>57272</v>
      </c>
      <c r="P104" s="211">
        <v>47300</v>
      </c>
      <c r="Q104" s="74">
        <v>4292</v>
      </c>
      <c r="R104" s="74"/>
      <c r="S104" s="186">
        <v>45660</v>
      </c>
      <c r="T104" s="186">
        <v>46022</v>
      </c>
      <c r="U104" s="187">
        <f t="shared" si="3"/>
        <v>362</v>
      </c>
      <c r="V104" s="183">
        <v>47300</v>
      </c>
      <c r="W104" s="73" t="s">
        <v>267</v>
      </c>
      <c r="X104" s="74" t="s">
        <v>283</v>
      </c>
      <c r="Y104" s="70" t="s">
        <v>346</v>
      </c>
      <c r="Z104" s="70" t="s">
        <v>347</v>
      </c>
      <c r="AA104" s="75" t="s">
        <v>266</v>
      </c>
      <c r="AB104" s="104" t="s">
        <v>612</v>
      </c>
      <c r="AC104" s="76">
        <v>97000000</v>
      </c>
      <c r="AD104" s="74"/>
      <c r="AE104" s="104" t="s">
        <v>596</v>
      </c>
      <c r="AF104" s="74"/>
      <c r="AG104" s="74"/>
      <c r="AH104" s="582"/>
      <c r="AI104" s="584"/>
      <c r="AJ104" s="74"/>
      <c r="AK104" s="74"/>
      <c r="AL104" s="74"/>
      <c r="AM104" s="586"/>
      <c r="AN104" s="73" t="s">
        <v>181</v>
      </c>
      <c r="AO104" s="73" t="s">
        <v>663</v>
      </c>
      <c r="AP104" s="575"/>
      <c r="AQ104" s="575"/>
      <c r="AR104" s="573"/>
      <c r="AS104" s="575"/>
      <c r="AT104" s="575"/>
      <c r="AU104" s="575"/>
      <c r="AV104" s="575"/>
      <c r="AW104" s="4"/>
      <c r="AX104" s="4"/>
      <c r="AY104" s="4"/>
      <c r="AZ104" s="4"/>
      <c r="BA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row>
    <row r="105" spans="1:119" s="157" customFormat="1" ht="220.8">
      <c r="A105" s="70" t="s">
        <v>174</v>
      </c>
      <c r="B105" s="70" t="s">
        <v>114</v>
      </c>
      <c r="C105" s="71" t="s">
        <v>278</v>
      </c>
      <c r="D105" s="70" t="s">
        <v>132</v>
      </c>
      <c r="E105" s="76" t="s">
        <v>181</v>
      </c>
      <c r="F105" s="72">
        <v>2024130010129</v>
      </c>
      <c r="G105" s="70" t="s">
        <v>189</v>
      </c>
      <c r="H105" s="70" t="s">
        <v>202</v>
      </c>
      <c r="I105" s="70" t="s">
        <v>332</v>
      </c>
      <c r="J105" s="183">
        <v>4292</v>
      </c>
      <c r="K105" s="210">
        <v>0.55000000000000004</v>
      </c>
      <c r="L105" s="73" t="s">
        <v>224</v>
      </c>
      <c r="M105" s="73"/>
      <c r="N105" s="73" t="s">
        <v>732</v>
      </c>
      <c r="O105" s="73">
        <v>57272</v>
      </c>
      <c r="P105" s="211">
        <v>47300</v>
      </c>
      <c r="Q105" s="74">
        <v>4292</v>
      </c>
      <c r="R105" s="74"/>
      <c r="S105" s="186">
        <v>45660</v>
      </c>
      <c r="T105" s="186">
        <v>46022</v>
      </c>
      <c r="U105" s="187">
        <f t="shared" si="3"/>
        <v>362</v>
      </c>
      <c r="V105" s="183">
        <v>47300</v>
      </c>
      <c r="W105" s="73" t="s">
        <v>267</v>
      </c>
      <c r="X105" s="74" t="s">
        <v>283</v>
      </c>
      <c r="Y105" s="70" t="s">
        <v>346</v>
      </c>
      <c r="Z105" s="70" t="s">
        <v>347</v>
      </c>
      <c r="AA105" s="75" t="s">
        <v>266</v>
      </c>
      <c r="AB105" s="104" t="s">
        <v>511</v>
      </c>
      <c r="AC105" s="76">
        <v>50400000</v>
      </c>
      <c r="AD105" s="74"/>
      <c r="AE105" s="74" t="s">
        <v>41</v>
      </c>
      <c r="AF105" s="74"/>
      <c r="AG105" s="74"/>
      <c r="AH105" s="582"/>
      <c r="AI105" s="584"/>
      <c r="AJ105" s="74"/>
      <c r="AK105" s="74"/>
      <c r="AL105" s="74"/>
      <c r="AM105" s="586"/>
      <c r="AN105" s="73" t="s">
        <v>181</v>
      </c>
      <c r="AO105" s="73" t="s">
        <v>663</v>
      </c>
      <c r="AP105" s="575"/>
      <c r="AQ105" s="575"/>
      <c r="AR105" s="573"/>
      <c r="AS105" s="575"/>
      <c r="AT105" s="575"/>
      <c r="AU105" s="575"/>
      <c r="AV105" s="575"/>
      <c r="AW105" s="4"/>
      <c r="AX105" s="4"/>
      <c r="AY105" s="4"/>
      <c r="AZ105" s="4"/>
      <c r="BA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row>
    <row r="106" spans="1:119" s="157" customFormat="1" ht="220.8">
      <c r="A106" s="70" t="s">
        <v>174</v>
      </c>
      <c r="B106" s="70" t="s">
        <v>114</v>
      </c>
      <c r="C106" s="71" t="s">
        <v>278</v>
      </c>
      <c r="D106" s="70" t="s">
        <v>132</v>
      </c>
      <c r="E106" s="76" t="s">
        <v>181</v>
      </c>
      <c r="F106" s="72">
        <v>2024130010129</v>
      </c>
      <c r="G106" s="70" t="s">
        <v>189</v>
      </c>
      <c r="H106" s="70" t="s">
        <v>202</v>
      </c>
      <c r="I106" s="70" t="s">
        <v>332</v>
      </c>
      <c r="J106" s="183">
        <v>4292</v>
      </c>
      <c r="K106" s="210">
        <v>0.55000000000000004</v>
      </c>
      <c r="L106" s="73" t="s">
        <v>223</v>
      </c>
      <c r="M106" s="73"/>
      <c r="N106" s="73" t="s">
        <v>732</v>
      </c>
      <c r="O106" s="73">
        <v>57272</v>
      </c>
      <c r="P106" s="211">
        <v>47300</v>
      </c>
      <c r="Q106" s="74"/>
      <c r="R106" s="74"/>
      <c r="S106" s="186">
        <v>45660</v>
      </c>
      <c r="T106" s="186">
        <v>46022</v>
      </c>
      <c r="U106" s="187">
        <f t="shared" si="3"/>
        <v>362</v>
      </c>
      <c r="V106" s="183">
        <v>47300</v>
      </c>
      <c r="W106" s="73" t="s">
        <v>267</v>
      </c>
      <c r="X106" s="74" t="s">
        <v>283</v>
      </c>
      <c r="Y106" s="70" t="s">
        <v>346</v>
      </c>
      <c r="Z106" s="70" t="s">
        <v>347</v>
      </c>
      <c r="AA106" s="75" t="s">
        <v>266</v>
      </c>
      <c r="AB106" s="104" t="s">
        <v>511</v>
      </c>
      <c r="AC106" s="76">
        <v>90720000</v>
      </c>
      <c r="AD106" s="74"/>
      <c r="AE106" s="74" t="s">
        <v>41</v>
      </c>
      <c r="AF106" s="74"/>
      <c r="AG106" s="74"/>
      <c r="AH106" s="582"/>
      <c r="AI106" s="584"/>
      <c r="AJ106" s="74"/>
      <c r="AK106" s="74"/>
      <c r="AL106" s="74"/>
      <c r="AM106" s="586"/>
      <c r="AN106" s="73" t="s">
        <v>181</v>
      </c>
      <c r="AO106" s="73" t="s">
        <v>663</v>
      </c>
      <c r="AP106" s="575"/>
      <c r="AQ106" s="575"/>
      <c r="AR106" s="573"/>
      <c r="AS106" s="575"/>
      <c r="AT106" s="575"/>
      <c r="AU106" s="575"/>
      <c r="AV106" s="575"/>
      <c r="AW106" s="4"/>
      <c r="AX106" s="4"/>
      <c r="AY106" s="4"/>
      <c r="AZ106" s="4"/>
      <c r="BA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row>
    <row r="107" spans="1:119" s="157" customFormat="1" ht="220.8">
      <c r="A107" s="70" t="s">
        <v>174</v>
      </c>
      <c r="B107" s="70" t="s">
        <v>114</v>
      </c>
      <c r="C107" s="71" t="s">
        <v>278</v>
      </c>
      <c r="D107" s="70" t="s">
        <v>132</v>
      </c>
      <c r="E107" s="76" t="s">
        <v>181</v>
      </c>
      <c r="F107" s="72">
        <v>2024130010129</v>
      </c>
      <c r="G107" s="70" t="s">
        <v>189</v>
      </c>
      <c r="H107" s="70" t="s">
        <v>202</v>
      </c>
      <c r="I107" s="70" t="s">
        <v>332</v>
      </c>
      <c r="J107" s="183">
        <v>4292</v>
      </c>
      <c r="K107" s="210">
        <v>0.55000000000000004</v>
      </c>
      <c r="L107" s="73" t="s">
        <v>229</v>
      </c>
      <c r="M107" s="73"/>
      <c r="N107" s="73" t="s">
        <v>732</v>
      </c>
      <c r="O107" s="73">
        <v>57272</v>
      </c>
      <c r="P107" s="211">
        <v>47300</v>
      </c>
      <c r="Q107" s="74"/>
      <c r="R107" s="74"/>
      <c r="S107" s="186">
        <v>45660</v>
      </c>
      <c r="T107" s="186">
        <v>46022</v>
      </c>
      <c r="U107" s="187">
        <f t="shared" si="3"/>
        <v>362</v>
      </c>
      <c r="V107" s="183">
        <v>47300</v>
      </c>
      <c r="W107" s="73" t="s">
        <v>267</v>
      </c>
      <c r="X107" s="74" t="s">
        <v>283</v>
      </c>
      <c r="Y107" s="70" t="s">
        <v>348</v>
      </c>
      <c r="Z107" s="70" t="s">
        <v>349</v>
      </c>
      <c r="AA107" s="75" t="s">
        <v>266</v>
      </c>
      <c r="AB107" s="104" t="s">
        <v>511</v>
      </c>
      <c r="AC107" s="76">
        <v>293580000</v>
      </c>
      <c r="AD107" s="74"/>
      <c r="AE107" s="104" t="s">
        <v>596</v>
      </c>
      <c r="AF107" s="74"/>
      <c r="AG107" s="74"/>
      <c r="AH107" s="582"/>
      <c r="AI107" s="584"/>
      <c r="AJ107" s="74"/>
      <c r="AK107" s="74"/>
      <c r="AL107" s="74"/>
      <c r="AM107" s="586"/>
      <c r="AN107" s="73" t="s">
        <v>181</v>
      </c>
      <c r="AO107" s="73" t="s">
        <v>663</v>
      </c>
      <c r="AP107" s="575"/>
      <c r="AQ107" s="575"/>
      <c r="AR107" s="573"/>
      <c r="AS107" s="575"/>
      <c r="AT107" s="575"/>
      <c r="AU107" s="575"/>
      <c r="AV107" s="575"/>
      <c r="AW107" s="4"/>
      <c r="AX107" s="4"/>
      <c r="AY107" s="4"/>
      <c r="AZ107" s="4"/>
      <c r="BA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row>
    <row r="108" spans="1:119" s="157" customFormat="1" ht="220.8">
      <c r="A108" s="70" t="s">
        <v>174</v>
      </c>
      <c r="B108" s="70" t="s">
        <v>114</v>
      </c>
      <c r="C108" s="71" t="s">
        <v>278</v>
      </c>
      <c r="D108" s="70" t="s">
        <v>132</v>
      </c>
      <c r="E108" s="76" t="s">
        <v>181</v>
      </c>
      <c r="F108" s="72">
        <v>2024130010129</v>
      </c>
      <c r="G108" s="70" t="s">
        <v>189</v>
      </c>
      <c r="H108" s="70" t="s">
        <v>202</v>
      </c>
      <c r="I108" s="70" t="s">
        <v>332</v>
      </c>
      <c r="J108" s="183">
        <v>4292</v>
      </c>
      <c r="K108" s="210">
        <v>0.55000000000000004</v>
      </c>
      <c r="L108" s="73" t="s">
        <v>228</v>
      </c>
      <c r="M108" s="73"/>
      <c r="N108" s="73" t="s">
        <v>732</v>
      </c>
      <c r="O108" s="73">
        <v>57272</v>
      </c>
      <c r="P108" s="211">
        <v>47300</v>
      </c>
      <c r="Q108" s="74"/>
      <c r="R108" s="74"/>
      <c r="S108" s="186">
        <v>45660</v>
      </c>
      <c r="T108" s="186">
        <v>46022</v>
      </c>
      <c r="U108" s="187">
        <f t="shared" si="3"/>
        <v>362</v>
      </c>
      <c r="V108" s="183">
        <v>47300</v>
      </c>
      <c r="W108" s="73" t="s">
        <v>267</v>
      </c>
      <c r="X108" s="74" t="s">
        <v>283</v>
      </c>
      <c r="Y108" s="70" t="s">
        <v>348</v>
      </c>
      <c r="Z108" s="70" t="s">
        <v>349</v>
      </c>
      <c r="AA108" s="75" t="s">
        <v>266</v>
      </c>
      <c r="AB108" s="104" t="s">
        <v>511</v>
      </c>
      <c r="AC108" s="76">
        <v>50400000</v>
      </c>
      <c r="AD108" s="74"/>
      <c r="AE108" s="74" t="s">
        <v>41</v>
      </c>
      <c r="AF108" s="74"/>
      <c r="AG108" s="74"/>
      <c r="AH108" s="582"/>
      <c r="AI108" s="584"/>
      <c r="AJ108" s="74"/>
      <c r="AK108" s="74"/>
      <c r="AL108" s="74"/>
      <c r="AM108" s="586"/>
      <c r="AN108" s="73" t="s">
        <v>181</v>
      </c>
      <c r="AO108" s="73" t="s">
        <v>663</v>
      </c>
      <c r="AP108" s="575"/>
      <c r="AQ108" s="575"/>
      <c r="AR108" s="573"/>
      <c r="AS108" s="575"/>
      <c r="AT108" s="575"/>
      <c r="AU108" s="575"/>
      <c r="AV108" s="575"/>
      <c r="AW108" s="4"/>
      <c r="AX108" s="4"/>
      <c r="AY108" s="4"/>
      <c r="AZ108" s="4"/>
      <c r="BA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row>
    <row r="109" spans="1:119" s="157" customFormat="1" ht="220.8">
      <c r="A109" s="70" t="s">
        <v>174</v>
      </c>
      <c r="B109" s="70" t="s">
        <v>114</v>
      </c>
      <c r="C109" s="71" t="s">
        <v>278</v>
      </c>
      <c r="D109" s="70" t="s">
        <v>132</v>
      </c>
      <c r="E109" s="76" t="s">
        <v>181</v>
      </c>
      <c r="F109" s="72">
        <v>2024130010129</v>
      </c>
      <c r="G109" s="70" t="s">
        <v>189</v>
      </c>
      <c r="H109" s="70" t="s">
        <v>202</v>
      </c>
      <c r="I109" s="70" t="s">
        <v>332</v>
      </c>
      <c r="J109" s="183">
        <v>4292</v>
      </c>
      <c r="K109" s="210">
        <v>0.55000000000000004</v>
      </c>
      <c r="L109" s="73" t="s">
        <v>228</v>
      </c>
      <c r="M109" s="73"/>
      <c r="N109" s="73" t="s">
        <v>732</v>
      </c>
      <c r="O109" s="73">
        <v>57272</v>
      </c>
      <c r="P109" s="211">
        <v>47300</v>
      </c>
      <c r="Q109" s="74"/>
      <c r="R109" s="74"/>
      <c r="S109" s="186">
        <v>45660</v>
      </c>
      <c r="T109" s="186">
        <v>46022</v>
      </c>
      <c r="U109" s="187">
        <f t="shared" si="3"/>
        <v>362</v>
      </c>
      <c r="V109" s="183">
        <v>47300</v>
      </c>
      <c r="W109" s="73" t="s">
        <v>267</v>
      </c>
      <c r="X109" s="74" t="s">
        <v>283</v>
      </c>
      <c r="Y109" s="70" t="s">
        <v>348</v>
      </c>
      <c r="Z109" s="70" t="s">
        <v>349</v>
      </c>
      <c r="AA109" s="75" t="s">
        <v>266</v>
      </c>
      <c r="AB109" s="104" t="s">
        <v>612</v>
      </c>
      <c r="AC109" s="76">
        <v>97000000</v>
      </c>
      <c r="AD109" s="74"/>
      <c r="AE109" s="74" t="s">
        <v>41</v>
      </c>
      <c r="AF109" s="74"/>
      <c r="AG109" s="74"/>
      <c r="AH109" s="582"/>
      <c r="AI109" s="584"/>
      <c r="AJ109" s="74"/>
      <c r="AK109" s="74"/>
      <c r="AL109" s="74"/>
      <c r="AM109" s="586"/>
      <c r="AN109" s="73" t="s">
        <v>181</v>
      </c>
      <c r="AO109" s="73" t="s">
        <v>663</v>
      </c>
      <c r="AP109" s="575"/>
      <c r="AQ109" s="575"/>
      <c r="AR109" s="573"/>
      <c r="AS109" s="575"/>
      <c r="AT109" s="575"/>
      <c r="AU109" s="575"/>
      <c r="AV109" s="575"/>
      <c r="AW109" s="4"/>
      <c r="AX109" s="4"/>
      <c r="AY109" s="4"/>
      <c r="AZ109" s="4"/>
      <c r="BA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row>
    <row r="110" spans="1:119" s="157" customFormat="1" ht="409.6">
      <c r="A110" s="70" t="s">
        <v>174</v>
      </c>
      <c r="B110" s="70" t="s">
        <v>114</v>
      </c>
      <c r="C110" s="71" t="s">
        <v>278</v>
      </c>
      <c r="D110" s="70" t="s">
        <v>132</v>
      </c>
      <c r="E110" s="76" t="s">
        <v>181</v>
      </c>
      <c r="F110" s="72">
        <v>2024130010129</v>
      </c>
      <c r="G110" s="70" t="s">
        <v>189</v>
      </c>
      <c r="H110" s="70" t="s">
        <v>202</v>
      </c>
      <c r="I110" s="70" t="s">
        <v>332</v>
      </c>
      <c r="J110" s="183">
        <v>4292</v>
      </c>
      <c r="K110" s="210">
        <v>0.55000000000000004</v>
      </c>
      <c r="L110" s="73" t="s">
        <v>225</v>
      </c>
      <c r="M110" s="73" t="s">
        <v>547</v>
      </c>
      <c r="N110" s="73" t="s">
        <v>732</v>
      </c>
      <c r="O110" s="73">
        <v>57272</v>
      </c>
      <c r="P110" s="211">
        <v>47300</v>
      </c>
      <c r="Q110" s="74"/>
      <c r="R110" s="74"/>
      <c r="S110" s="186">
        <v>45660</v>
      </c>
      <c r="T110" s="186">
        <v>46022</v>
      </c>
      <c r="U110" s="187">
        <f t="shared" si="3"/>
        <v>362</v>
      </c>
      <c r="V110" s="183">
        <v>47300</v>
      </c>
      <c r="W110" s="73" t="s">
        <v>267</v>
      </c>
      <c r="X110" s="74" t="s">
        <v>283</v>
      </c>
      <c r="Y110" s="70" t="s">
        <v>348</v>
      </c>
      <c r="Z110" s="70" t="s">
        <v>349</v>
      </c>
      <c r="AA110" s="75" t="s">
        <v>266</v>
      </c>
      <c r="AB110" s="104" t="s">
        <v>511</v>
      </c>
      <c r="AC110" s="76">
        <v>236880000</v>
      </c>
      <c r="AD110" s="74"/>
      <c r="AE110" s="74" t="s">
        <v>41</v>
      </c>
      <c r="AF110" s="74"/>
      <c r="AG110" s="74"/>
      <c r="AH110" s="582"/>
      <c r="AI110" s="584"/>
      <c r="AJ110" s="74"/>
      <c r="AK110" s="74"/>
      <c r="AL110" s="74"/>
      <c r="AM110" s="586"/>
      <c r="AN110" s="73" t="s">
        <v>181</v>
      </c>
      <c r="AO110" s="73" t="s">
        <v>663</v>
      </c>
      <c r="AP110" s="575"/>
      <c r="AQ110" s="575"/>
      <c r="AR110" s="573"/>
      <c r="AS110" s="575"/>
      <c r="AT110" s="575"/>
      <c r="AU110" s="575"/>
      <c r="AV110" s="575"/>
      <c r="AW110" s="4"/>
      <c r="AX110" s="4"/>
      <c r="AY110" s="4"/>
      <c r="AZ110" s="4"/>
      <c r="BA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row>
    <row r="111" spans="1:119" s="157" customFormat="1" ht="220.8">
      <c r="A111" s="70" t="s">
        <v>174</v>
      </c>
      <c r="B111" s="70" t="s">
        <v>114</v>
      </c>
      <c r="C111" s="71" t="s">
        <v>278</v>
      </c>
      <c r="D111" s="70" t="s">
        <v>132</v>
      </c>
      <c r="E111" s="76" t="s">
        <v>181</v>
      </c>
      <c r="F111" s="72">
        <v>2024130010129</v>
      </c>
      <c r="G111" s="70" t="s">
        <v>189</v>
      </c>
      <c r="H111" s="70" t="s">
        <v>202</v>
      </c>
      <c r="I111" s="70" t="s">
        <v>332</v>
      </c>
      <c r="J111" s="183">
        <v>4292</v>
      </c>
      <c r="K111" s="210">
        <v>0.55000000000000004</v>
      </c>
      <c r="L111" s="73" t="s">
        <v>226</v>
      </c>
      <c r="M111" s="73"/>
      <c r="N111" s="73" t="s">
        <v>733</v>
      </c>
      <c r="O111" s="73">
        <v>57272</v>
      </c>
      <c r="P111" s="211">
        <v>47300</v>
      </c>
      <c r="Q111" s="74"/>
      <c r="R111" s="74"/>
      <c r="S111" s="186">
        <v>45660</v>
      </c>
      <c r="T111" s="186">
        <v>46022</v>
      </c>
      <c r="U111" s="187">
        <f t="shared" si="3"/>
        <v>362</v>
      </c>
      <c r="V111" s="183">
        <v>47300</v>
      </c>
      <c r="W111" s="73" t="s">
        <v>267</v>
      </c>
      <c r="X111" s="74" t="s">
        <v>283</v>
      </c>
      <c r="Y111" s="70" t="s">
        <v>350</v>
      </c>
      <c r="Z111" s="70" t="s">
        <v>351</v>
      </c>
      <c r="AA111" s="75" t="s">
        <v>266</v>
      </c>
      <c r="AB111" s="104" t="s">
        <v>511</v>
      </c>
      <c r="AC111" s="76">
        <v>216720000</v>
      </c>
      <c r="AD111" s="74"/>
      <c r="AE111" s="104" t="s">
        <v>596</v>
      </c>
      <c r="AF111" s="74"/>
      <c r="AG111" s="74"/>
      <c r="AH111" s="582"/>
      <c r="AI111" s="584"/>
      <c r="AJ111" s="74"/>
      <c r="AK111" s="74"/>
      <c r="AL111" s="74"/>
      <c r="AM111" s="586"/>
      <c r="AN111" s="73" t="s">
        <v>181</v>
      </c>
      <c r="AO111" s="73" t="s">
        <v>663</v>
      </c>
      <c r="AP111" s="575"/>
      <c r="AQ111" s="575"/>
      <c r="AR111" s="573"/>
      <c r="AS111" s="575"/>
      <c r="AT111" s="575"/>
      <c r="AU111" s="575"/>
      <c r="AV111" s="575"/>
      <c r="AW111" s="4"/>
      <c r="AX111" s="4"/>
      <c r="AY111" s="4"/>
      <c r="AZ111" s="4"/>
      <c r="BA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row>
    <row r="112" spans="1:119" s="157" customFormat="1" ht="220.8">
      <c r="A112" s="70" t="s">
        <v>174</v>
      </c>
      <c r="B112" s="70" t="s">
        <v>114</v>
      </c>
      <c r="C112" s="71" t="s">
        <v>278</v>
      </c>
      <c r="D112" s="70" t="s">
        <v>132</v>
      </c>
      <c r="E112" s="76" t="s">
        <v>181</v>
      </c>
      <c r="F112" s="72">
        <v>2024130010129</v>
      </c>
      <c r="G112" s="70" t="s">
        <v>189</v>
      </c>
      <c r="H112" s="70" t="s">
        <v>202</v>
      </c>
      <c r="I112" s="70" t="s">
        <v>332</v>
      </c>
      <c r="J112" s="183">
        <v>4292</v>
      </c>
      <c r="K112" s="210">
        <v>0.5</v>
      </c>
      <c r="L112" s="73" t="s">
        <v>226</v>
      </c>
      <c r="M112" s="73"/>
      <c r="N112" s="73" t="s">
        <v>733</v>
      </c>
      <c r="O112" s="73">
        <v>57272</v>
      </c>
      <c r="P112" s="211">
        <v>47300</v>
      </c>
      <c r="Q112" s="74"/>
      <c r="R112" s="74"/>
      <c r="S112" s="186">
        <v>45660</v>
      </c>
      <c r="T112" s="186">
        <v>46022</v>
      </c>
      <c r="U112" s="187">
        <f t="shared" si="3"/>
        <v>362</v>
      </c>
      <c r="V112" s="183">
        <v>47300</v>
      </c>
      <c r="W112" s="73" t="s">
        <v>267</v>
      </c>
      <c r="X112" s="74" t="s">
        <v>283</v>
      </c>
      <c r="Y112" s="75" t="s">
        <v>352</v>
      </c>
      <c r="Z112" s="70" t="s">
        <v>351</v>
      </c>
      <c r="AA112" s="75" t="s">
        <v>266</v>
      </c>
      <c r="AB112" s="104" t="s">
        <v>613</v>
      </c>
      <c r="AC112" s="76">
        <v>233697961</v>
      </c>
      <c r="AD112" s="74"/>
      <c r="AE112" s="104" t="s">
        <v>596</v>
      </c>
      <c r="AF112" s="74"/>
      <c r="AG112" s="74"/>
      <c r="AH112" s="582"/>
      <c r="AI112" s="584"/>
      <c r="AJ112" s="74"/>
      <c r="AK112" s="74"/>
      <c r="AL112" s="74"/>
      <c r="AM112" s="586"/>
      <c r="AN112" s="73" t="s">
        <v>181</v>
      </c>
      <c r="AO112" s="73" t="s">
        <v>663</v>
      </c>
      <c r="AP112" s="575"/>
      <c r="AQ112" s="575"/>
      <c r="AR112" s="573"/>
      <c r="AS112" s="575"/>
      <c r="AT112" s="575"/>
      <c r="AU112" s="575"/>
      <c r="AV112" s="575"/>
      <c r="AW112" s="4"/>
      <c r="AX112" s="4"/>
      <c r="AY112" s="4"/>
      <c r="AZ112" s="4"/>
      <c r="BA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row>
    <row r="113" spans="1:119" s="157" customFormat="1" ht="220.8">
      <c r="A113" s="70" t="s">
        <v>174</v>
      </c>
      <c r="B113" s="70" t="s">
        <v>114</v>
      </c>
      <c r="C113" s="71" t="s">
        <v>278</v>
      </c>
      <c r="D113" s="70" t="s">
        <v>132</v>
      </c>
      <c r="E113" s="76" t="s">
        <v>181</v>
      </c>
      <c r="F113" s="72">
        <v>2024130010129</v>
      </c>
      <c r="G113" s="70" t="s">
        <v>189</v>
      </c>
      <c r="H113" s="70" t="s">
        <v>202</v>
      </c>
      <c r="I113" s="70" t="s">
        <v>332</v>
      </c>
      <c r="J113" s="183">
        <v>4292</v>
      </c>
      <c r="K113" s="210">
        <v>0.55000000000000004</v>
      </c>
      <c r="L113" s="73" t="s">
        <v>226</v>
      </c>
      <c r="M113" s="73"/>
      <c r="N113" s="73" t="s">
        <v>733</v>
      </c>
      <c r="O113" s="73">
        <v>57272</v>
      </c>
      <c r="P113" s="211">
        <v>47300</v>
      </c>
      <c r="Q113" s="74"/>
      <c r="R113" s="74"/>
      <c r="S113" s="186">
        <v>45660</v>
      </c>
      <c r="T113" s="186">
        <v>46022</v>
      </c>
      <c r="U113" s="187">
        <f t="shared" si="3"/>
        <v>362</v>
      </c>
      <c r="V113" s="183">
        <v>47300</v>
      </c>
      <c r="W113" s="73" t="s">
        <v>267</v>
      </c>
      <c r="X113" s="74" t="s">
        <v>283</v>
      </c>
      <c r="Y113" s="75" t="s">
        <v>352</v>
      </c>
      <c r="Z113" s="70" t="s">
        <v>351</v>
      </c>
      <c r="AA113" s="75" t="s">
        <v>266</v>
      </c>
      <c r="AB113" s="104" t="s">
        <v>614</v>
      </c>
      <c r="AC113" s="76">
        <v>84000004</v>
      </c>
      <c r="AD113" s="74"/>
      <c r="AE113" s="104" t="s">
        <v>596</v>
      </c>
      <c r="AF113" s="74"/>
      <c r="AG113" s="74"/>
      <c r="AH113" s="582"/>
      <c r="AI113" s="584"/>
      <c r="AJ113" s="74"/>
      <c r="AK113" s="74"/>
      <c r="AL113" s="74"/>
      <c r="AM113" s="586"/>
      <c r="AN113" s="73" t="s">
        <v>181</v>
      </c>
      <c r="AO113" s="73" t="s">
        <v>663</v>
      </c>
      <c r="AP113" s="575"/>
      <c r="AQ113" s="575"/>
      <c r="AR113" s="573"/>
      <c r="AS113" s="575"/>
      <c r="AT113" s="575"/>
      <c r="AU113" s="575"/>
      <c r="AV113" s="575"/>
      <c r="AW113" s="4"/>
      <c r="AX113" s="4"/>
      <c r="AY113" s="4"/>
      <c r="AZ113" s="4"/>
      <c r="BA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row>
    <row r="114" spans="1:119" s="157" customFormat="1" ht="220.8">
      <c r="A114" s="70" t="s">
        <v>174</v>
      </c>
      <c r="B114" s="70" t="s">
        <v>114</v>
      </c>
      <c r="C114" s="71" t="s">
        <v>278</v>
      </c>
      <c r="D114" s="70" t="s">
        <v>132</v>
      </c>
      <c r="E114" s="76" t="s">
        <v>181</v>
      </c>
      <c r="F114" s="72">
        <v>2024130010129</v>
      </c>
      <c r="G114" s="70" t="s">
        <v>189</v>
      </c>
      <c r="H114" s="70" t="s">
        <v>202</v>
      </c>
      <c r="I114" s="70" t="s">
        <v>332</v>
      </c>
      <c r="J114" s="183">
        <v>4292</v>
      </c>
      <c r="K114" s="210">
        <v>0.55000000000000004</v>
      </c>
      <c r="L114" s="73" t="s">
        <v>226</v>
      </c>
      <c r="M114" s="73"/>
      <c r="N114" s="73" t="s">
        <v>734</v>
      </c>
      <c r="O114" s="73">
        <v>57272</v>
      </c>
      <c r="P114" s="211">
        <v>47300</v>
      </c>
      <c r="Q114" s="74"/>
      <c r="R114" s="74"/>
      <c r="S114" s="186">
        <v>45660</v>
      </c>
      <c r="T114" s="186">
        <v>46022</v>
      </c>
      <c r="U114" s="187">
        <f t="shared" si="3"/>
        <v>362</v>
      </c>
      <c r="V114" s="183">
        <v>47300</v>
      </c>
      <c r="W114" s="73" t="s">
        <v>267</v>
      </c>
      <c r="X114" s="74" t="s">
        <v>283</v>
      </c>
      <c r="Y114" s="70" t="s">
        <v>354</v>
      </c>
      <c r="Z114" s="70" t="s">
        <v>353</v>
      </c>
      <c r="AA114" s="75" t="s">
        <v>266</v>
      </c>
      <c r="AB114" s="104" t="s">
        <v>612</v>
      </c>
      <c r="AC114" s="76">
        <v>102000000</v>
      </c>
      <c r="AD114" s="74"/>
      <c r="AE114" s="104" t="s">
        <v>596</v>
      </c>
      <c r="AF114" s="74"/>
      <c r="AG114" s="74"/>
      <c r="AH114" s="582"/>
      <c r="AI114" s="584"/>
      <c r="AJ114" s="74"/>
      <c r="AK114" s="74"/>
      <c r="AL114" s="74"/>
      <c r="AM114" s="586"/>
      <c r="AN114" s="73" t="s">
        <v>181</v>
      </c>
      <c r="AO114" s="73" t="s">
        <v>663</v>
      </c>
      <c r="AP114" s="575"/>
      <c r="AQ114" s="575"/>
      <c r="AR114" s="573"/>
      <c r="AS114" s="575"/>
      <c r="AT114" s="575"/>
      <c r="AU114" s="575"/>
      <c r="AV114" s="575"/>
      <c r="AW114" s="4"/>
      <c r="AX114" s="4"/>
      <c r="AY114" s="4"/>
      <c r="AZ114" s="4"/>
      <c r="BA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row>
    <row r="115" spans="1:119" s="157" customFormat="1" ht="53.25" customHeight="1">
      <c r="A115" s="70"/>
      <c r="B115" s="70"/>
      <c r="C115" s="71"/>
      <c r="D115" s="70"/>
      <c r="E115" s="513" t="s">
        <v>695</v>
      </c>
      <c r="F115" s="514"/>
      <c r="G115" s="514"/>
      <c r="H115" s="514"/>
      <c r="I115" s="514"/>
      <c r="J115" s="514"/>
      <c r="K115" s="514"/>
      <c r="L115" s="514"/>
      <c r="M115" s="514"/>
      <c r="N115" s="514"/>
      <c r="O115" s="514"/>
      <c r="P115" s="514"/>
      <c r="Q115" s="515"/>
      <c r="R115" s="74"/>
      <c r="S115" s="186"/>
      <c r="T115" s="186"/>
      <c r="U115" s="187"/>
      <c r="V115" s="183"/>
      <c r="W115" s="73"/>
      <c r="X115" s="74"/>
      <c r="Y115" s="70"/>
      <c r="Z115" s="70"/>
      <c r="AA115" s="75"/>
      <c r="AB115" s="104"/>
      <c r="AC115" s="76"/>
      <c r="AD115" s="74"/>
      <c r="AE115" s="104"/>
      <c r="AF115" s="74"/>
      <c r="AG115" s="74"/>
      <c r="AH115" s="291"/>
      <c r="AI115" s="292"/>
      <c r="AJ115" s="74"/>
      <c r="AK115" s="74"/>
      <c r="AL115" s="74"/>
      <c r="AM115" s="293"/>
      <c r="AN115" s="73"/>
      <c r="AO115" s="318" t="s">
        <v>689</v>
      </c>
      <c r="AP115" s="307">
        <f>SUM(AP99)</f>
        <v>2572740622.8499999</v>
      </c>
      <c r="AQ115" s="307">
        <f>SUM(AQ99)</f>
        <v>489232000</v>
      </c>
      <c r="AR115" s="340">
        <f>SUM(AR99)</f>
        <v>0.19020000000000001</v>
      </c>
      <c r="AS115" s="307">
        <f>SUM(AS99)</f>
        <v>0</v>
      </c>
      <c r="AT115" s="307">
        <f>SUM(AT99)</f>
        <v>0</v>
      </c>
      <c r="AU115" s="341">
        <v>0</v>
      </c>
      <c r="AV115" s="341">
        <v>0</v>
      </c>
      <c r="AW115" s="4"/>
      <c r="AX115" s="4"/>
      <c r="AY115" s="4"/>
      <c r="AZ115" s="4"/>
      <c r="BA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row>
    <row r="116" spans="1:119" s="158" customFormat="1" ht="151.80000000000001">
      <c r="A116" s="77" t="s">
        <v>174</v>
      </c>
      <c r="B116" s="77" t="s">
        <v>114</v>
      </c>
      <c r="C116" s="78" t="s">
        <v>278</v>
      </c>
      <c r="D116" s="77" t="s">
        <v>133</v>
      </c>
      <c r="E116" s="77" t="s">
        <v>182</v>
      </c>
      <c r="F116" s="184">
        <v>2024130010139</v>
      </c>
      <c r="G116" s="77" t="s">
        <v>190</v>
      </c>
      <c r="H116" s="77" t="s">
        <v>203</v>
      </c>
      <c r="I116" s="77" t="s">
        <v>162</v>
      </c>
      <c r="J116" s="172">
        <v>15796</v>
      </c>
      <c r="K116" s="210">
        <v>0.45</v>
      </c>
      <c r="L116" s="79" t="s">
        <v>234</v>
      </c>
      <c r="M116" s="80"/>
      <c r="N116" s="79" t="s">
        <v>735</v>
      </c>
      <c r="O116" s="79">
        <v>33718</v>
      </c>
      <c r="P116" s="211">
        <v>30744</v>
      </c>
      <c r="Q116" s="80">
        <v>10000</v>
      </c>
      <c r="R116" s="80">
        <f>+Q116/P116</f>
        <v>0.32526671870934165</v>
      </c>
      <c r="S116" s="186">
        <v>45660</v>
      </c>
      <c r="T116" s="186">
        <v>46022</v>
      </c>
      <c r="U116" s="187">
        <f t="shared" si="3"/>
        <v>362</v>
      </c>
      <c r="V116" s="77">
        <v>30744</v>
      </c>
      <c r="W116" s="79" t="s">
        <v>267</v>
      </c>
      <c r="X116" s="80" t="s">
        <v>283</v>
      </c>
      <c r="Y116" s="185" t="s">
        <v>355</v>
      </c>
      <c r="Z116" s="79" t="s">
        <v>356</v>
      </c>
      <c r="AA116" s="81" t="s">
        <v>266</v>
      </c>
      <c r="AB116" s="131" t="s">
        <v>511</v>
      </c>
      <c r="AC116" s="132">
        <v>336672000</v>
      </c>
      <c r="AD116" s="79" t="s">
        <v>47</v>
      </c>
      <c r="AE116" s="80" t="s">
        <v>41</v>
      </c>
      <c r="AF116" s="80"/>
      <c r="AG116" s="80"/>
      <c r="AH116" s="618">
        <v>3456124347</v>
      </c>
      <c r="AI116" s="621"/>
      <c r="AJ116" s="80"/>
      <c r="AK116" s="80"/>
      <c r="AL116" s="80"/>
      <c r="AM116" s="624" t="s">
        <v>566</v>
      </c>
      <c r="AN116" s="79" t="s">
        <v>182</v>
      </c>
      <c r="AO116" s="79" t="s">
        <v>664</v>
      </c>
      <c r="AP116" s="608">
        <v>3656986372.5799999</v>
      </c>
      <c r="AQ116" s="608">
        <v>1390029739.48</v>
      </c>
      <c r="AR116" s="627">
        <v>0.38009999999999999</v>
      </c>
      <c r="AS116" s="608">
        <v>0</v>
      </c>
      <c r="AT116" s="608">
        <v>0</v>
      </c>
      <c r="AU116" s="611">
        <v>0</v>
      </c>
      <c r="AV116" s="611">
        <v>0</v>
      </c>
      <c r="AW116" s="4"/>
      <c r="AX116" s="4"/>
      <c r="AY116" s="4"/>
      <c r="AZ116" s="4"/>
      <c r="BA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row>
    <row r="117" spans="1:119" s="158" customFormat="1" ht="151.80000000000001">
      <c r="A117" s="77" t="s">
        <v>174</v>
      </c>
      <c r="B117" s="77" t="s">
        <v>114</v>
      </c>
      <c r="C117" s="78" t="s">
        <v>278</v>
      </c>
      <c r="D117" s="77" t="s">
        <v>133</v>
      </c>
      <c r="E117" s="77" t="s">
        <v>182</v>
      </c>
      <c r="F117" s="184">
        <v>2024130010139</v>
      </c>
      <c r="G117" s="77" t="s">
        <v>190</v>
      </c>
      <c r="H117" s="77" t="s">
        <v>203</v>
      </c>
      <c r="I117" s="77" t="s">
        <v>162</v>
      </c>
      <c r="J117" s="172">
        <v>15796</v>
      </c>
      <c r="K117" s="210">
        <v>0.45</v>
      </c>
      <c r="L117" s="79" t="s">
        <v>236</v>
      </c>
      <c r="M117" s="80"/>
      <c r="N117" s="79" t="s">
        <v>736</v>
      </c>
      <c r="O117" s="79">
        <v>33718</v>
      </c>
      <c r="P117" s="211">
        <v>30744</v>
      </c>
      <c r="Q117" s="80">
        <v>10000</v>
      </c>
      <c r="R117" s="80"/>
      <c r="S117" s="186">
        <v>45660</v>
      </c>
      <c r="T117" s="186">
        <v>46022</v>
      </c>
      <c r="U117" s="187">
        <f t="shared" si="3"/>
        <v>362</v>
      </c>
      <c r="V117" s="77">
        <v>30744</v>
      </c>
      <c r="W117" s="79" t="s">
        <v>267</v>
      </c>
      <c r="X117" s="80" t="s">
        <v>283</v>
      </c>
      <c r="Y117" s="79" t="s">
        <v>357</v>
      </c>
      <c r="Z117" s="79" t="s">
        <v>358</v>
      </c>
      <c r="AA117" s="81" t="s">
        <v>266</v>
      </c>
      <c r="AB117" s="131" t="s">
        <v>615</v>
      </c>
      <c r="AC117" s="132">
        <v>134061978</v>
      </c>
      <c r="AD117" s="79" t="s">
        <v>42</v>
      </c>
      <c r="AE117" s="80" t="s">
        <v>41</v>
      </c>
      <c r="AF117" s="80"/>
      <c r="AG117" s="80"/>
      <c r="AH117" s="619"/>
      <c r="AI117" s="622"/>
      <c r="AJ117" s="80"/>
      <c r="AK117" s="80"/>
      <c r="AL117" s="80"/>
      <c r="AM117" s="625"/>
      <c r="AN117" s="79" t="s">
        <v>182</v>
      </c>
      <c r="AO117" s="79" t="s">
        <v>664</v>
      </c>
      <c r="AP117" s="609"/>
      <c r="AQ117" s="609"/>
      <c r="AR117" s="628"/>
      <c r="AS117" s="609"/>
      <c r="AT117" s="609"/>
      <c r="AU117" s="609"/>
      <c r="AV117" s="609"/>
      <c r="AW117" s="4"/>
      <c r="AX117" s="4"/>
      <c r="AY117" s="4"/>
      <c r="AZ117" s="4"/>
      <c r="BA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row>
    <row r="118" spans="1:119" s="158" customFormat="1" ht="151.80000000000001">
      <c r="A118" s="77" t="s">
        <v>174</v>
      </c>
      <c r="B118" s="77" t="s">
        <v>114</v>
      </c>
      <c r="C118" s="78" t="s">
        <v>278</v>
      </c>
      <c r="D118" s="77" t="s">
        <v>133</v>
      </c>
      <c r="E118" s="77" t="s">
        <v>182</v>
      </c>
      <c r="F118" s="184">
        <v>2024130010139</v>
      </c>
      <c r="G118" s="77" t="s">
        <v>190</v>
      </c>
      <c r="H118" s="77" t="s">
        <v>203</v>
      </c>
      <c r="I118" s="77" t="s">
        <v>162</v>
      </c>
      <c r="J118" s="172">
        <v>15796</v>
      </c>
      <c r="K118" s="210">
        <v>0.45</v>
      </c>
      <c r="L118" s="79" t="s">
        <v>236</v>
      </c>
      <c r="M118" s="80"/>
      <c r="N118" s="79" t="s">
        <v>736</v>
      </c>
      <c r="O118" s="79">
        <v>33718</v>
      </c>
      <c r="P118" s="211">
        <v>30744</v>
      </c>
      <c r="Q118" s="80">
        <v>10000</v>
      </c>
      <c r="R118" s="80"/>
      <c r="S118" s="186">
        <v>45660</v>
      </c>
      <c r="T118" s="186">
        <v>46022</v>
      </c>
      <c r="U118" s="187">
        <f t="shared" si="3"/>
        <v>362</v>
      </c>
      <c r="V118" s="77">
        <v>30744</v>
      </c>
      <c r="W118" s="79" t="s">
        <v>267</v>
      </c>
      <c r="X118" s="80" t="s">
        <v>283</v>
      </c>
      <c r="Y118" s="79" t="s">
        <v>338</v>
      </c>
      <c r="Z118" s="79" t="s">
        <v>359</v>
      </c>
      <c r="AA118" s="81" t="s">
        <v>266</v>
      </c>
      <c r="AB118" s="131" t="s">
        <v>619</v>
      </c>
      <c r="AC118" s="132">
        <v>83999999.995999992</v>
      </c>
      <c r="AD118" s="79" t="s">
        <v>44</v>
      </c>
      <c r="AE118" s="80" t="s">
        <v>41</v>
      </c>
      <c r="AF118" s="80"/>
      <c r="AG118" s="80"/>
      <c r="AH118" s="619"/>
      <c r="AI118" s="622"/>
      <c r="AJ118" s="80"/>
      <c r="AK118" s="80"/>
      <c r="AL118" s="80"/>
      <c r="AM118" s="625"/>
      <c r="AN118" s="79" t="s">
        <v>182</v>
      </c>
      <c r="AO118" s="79" t="s">
        <v>664</v>
      </c>
      <c r="AP118" s="609"/>
      <c r="AQ118" s="609"/>
      <c r="AR118" s="628"/>
      <c r="AS118" s="609"/>
      <c r="AT118" s="609"/>
      <c r="AU118" s="609"/>
      <c r="AV118" s="609"/>
      <c r="AW118" s="4"/>
      <c r="AX118" s="4"/>
      <c r="AY118" s="4"/>
      <c r="AZ118" s="4"/>
      <c r="BA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row>
    <row r="119" spans="1:119" s="158" customFormat="1" ht="151.80000000000001">
      <c r="A119" s="77" t="s">
        <v>174</v>
      </c>
      <c r="B119" s="77" t="s">
        <v>114</v>
      </c>
      <c r="C119" s="78" t="s">
        <v>278</v>
      </c>
      <c r="D119" s="77" t="s">
        <v>133</v>
      </c>
      <c r="E119" s="77" t="s">
        <v>182</v>
      </c>
      <c r="F119" s="184">
        <v>2024130010139</v>
      </c>
      <c r="G119" s="77" t="s">
        <v>190</v>
      </c>
      <c r="H119" s="77" t="s">
        <v>203</v>
      </c>
      <c r="I119" s="77" t="s">
        <v>162</v>
      </c>
      <c r="J119" s="172">
        <v>15796</v>
      </c>
      <c r="K119" s="210">
        <v>0.45</v>
      </c>
      <c r="L119" s="79" t="s">
        <v>236</v>
      </c>
      <c r="M119" s="80"/>
      <c r="N119" s="79" t="s">
        <v>736</v>
      </c>
      <c r="O119" s="79">
        <v>33718</v>
      </c>
      <c r="P119" s="211">
        <v>30744</v>
      </c>
      <c r="Q119" s="80">
        <v>10000</v>
      </c>
      <c r="R119" s="80"/>
      <c r="S119" s="186">
        <v>45660</v>
      </c>
      <c r="T119" s="186">
        <v>46022</v>
      </c>
      <c r="U119" s="187">
        <f t="shared" si="3"/>
        <v>362</v>
      </c>
      <c r="V119" s="77">
        <v>30744</v>
      </c>
      <c r="W119" s="79" t="s">
        <v>267</v>
      </c>
      <c r="X119" s="80" t="s">
        <v>283</v>
      </c>
      <c r="Y119" s="79" t="s">
        <v>338</v>
      </c>
      <c r="Z119" s="79" t="s">
        <v>359</v>
      </c>
      <c r="AA119" s="81" t="s">
        <v>266</v>
      </c>
      <c r="AB119" s="131" t="s">
        <v>618</v>
      </c>
      <c r="AC119" s="132">
        <v>100000000</v>
      </c>
      <c r="AD119" s="79" t="s">
        <v>48</v>
      </c>
      <c r="AE119" s="80" t="s">
        <v>41</v>
      </c>
      <c r="AF119" s="80"/>
      <c r="AG119" s="80"/>
      <c r="AH119" s="619"/>
      <c r="AI119" s="622"/>
      <c r="AJ119" s="80"/>
      <c r="AK119" s="80"/>
      <c r="AL119" s="80"/>
      <c r="AM119" s="625"/>
      <c r="AN119" s="79" t="s">
        <v>182</v>
      </c>
      <c r="AO119" s="79" t="s">
        <v>664</v>
      </c>
      <c r="AP119" s="609"/>
      <c r="AQ119" s="609"/>
      <c r="AR119" s="628"/>
      <c r="AS119" s="609"/>
      <c r="AT119" s="609"/>
      <c r="AU119" s="609"/>
      <c r="AV119" s="609"/>
      <c r="AW119" s="4"/>
      <c r="AX119" s="4"/>
      <c r="AY119" s="4"/>
      <c r="AZ119" s="4"/>
      <c r="BA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row>
    <row r="120" spans="1:119" s="158" customFormat="1" ht="151.80000000000001">
      <c r="A120" s="77" t="s">
        <v>174</v>
      </c>
      <c r="B120" s="77" t="s">
        <v>114</v>
      </c>
      <c r="C120" s="78" t="s">
        <v>278</v>
      </c>
      <c r="D120" s="77" t="s">
        <v>133</v>
      </c>
      <c r="E120" s="77" t="s">
        <v>182</v>
      </c>
      <c r="F120" s="184">
        <v>2024130010139</v>
      </c>
      <c r="G120" s="77" t="s">
        <v>190</v>
      </c>
      <c r="H120" s="77" t="s">
        <v>203</v>
      </c>
      <c r="I120" s="77" t="s">
        <v>162</v>
      </c>
      <c r="J120" s="172">
        <v>15796</v>
      </c>
      <c r="K120" s="210">
        <v>0.45</v>
      </c>
      <c r="L120" s="79" t="s">
        <v>235</v>
      </c>
      <c r="M120" s="80"/>
      <c r="N120" s="79" t="s">
        <v>737</v>
      </c>
      <c r="O120" s="79">
        <v>33718</v>
      </c>
      <c r="P120" s="211">
        <v>30744</v>
      </c>
      <c r="Q120" s="80">
        <v>10000</v>
      </c>
      <c r="R120" s="80"/>
      <c r="S120" s="186">
        <v>45660</v>
      </c>
      <c r="T120" s="186">
        <v>46022</v>
      </c>
      <c r="U120" s="187">
        <f t="shared" si="3"/>
        <v>362</v>
      </c>
      <c r="V120" s="77">
        <v>30744</v>
      </c>
      <c r="W120" s="79" t="s">
        <v>267</v>
      </c>
      <c r="X120" s="80" t="s">
        <v>283</v>
      </c>
      <c r="Y120" s="79" t="s">
        <v>338</v>
      </c>
      <c r="Z120" s="79" t="s">
        <v>359</v>
      </c>
      <c r="AA120" s="81" t="s">
        <v>266</v>
      </c>
      <c r="AB120" s="131" t="s">
        <v>511</v>
      </c>
      <c r="AC120" s="132">
        <v>1532412000</v>
      </c>
      <c r="AD120" s="79" t="s">
        <v>47</v>
      </c>
      <c r="AE120" s="131" t="s">
        <v>594</v>
      </c>
      <c r="AF120" s="80"/>
      <c r="AG120" s="80"/>
      <c r="AH120" s="619"/>
      <c r="AI120" s="622"/>
      <c r="AJ120" s="80"/>
      <c r="AK120" s="80"/>
      <c r="AL120" s="80"/>
      <c r="AM120" s="625"/>
      <c r="AN120" s="79" t="s">
        <v>182</v>
      </c>
      <c r="AO120" s="79" t="s">
        <v>664</v>
      </c>
      <c r="AP120" s="609"/>
      <c r="AQ120" s="609"/>
      <c r="AR120" s="628"/>
      <c r="AS120" s="609"/>
      <c r="AT120" s="609"/>
      <c r="AU120" s="609"/>
      <c r="AV120" s="609"/>
      <c r="AW120" s="4"/>
      <c r="AX120" s="4"/>
      <c r="AY120" s="4"/>
      <c r="AZ120" s="4"/>
      <c r="BA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row>
    <row r="121" spans="1:119" s="158" customFormat="1" ht="151.80000000000001">
      <c r="A121" s="77" t="s">
        <v>174</v>
      </c>
      <c r="B121" s="77" t="s">
        <v>114</v>
      </c>
      <c r="C121" s="78" t="s">
        <v>278</v>
      </c>
      <c r="D121" s="77" t="s">
        <v>133</v>
      </c>
      <c r="E121" s="77" t="s">
        <v>182</v>
      </c>
      <c r="F121" s="184">
        <v>2024130010139</v>
      </c>
      <c r="G121" s="77" t="s">
        <v>190</v>
      </c>
      <c r="H121" s="77" t="s">
        <v>203</v>
      </c>
      <c r="I121" s="77" t="s">
        <v>162</v>
      </c>
      <c r="J121" s="172">
        <v>15796</v>
      </c>
      <c r="K121" s="210">
        <v>0.45</v>
      </c>
      <c r="L121" s="79" t="s">
        <v>235</v>
      </c>
      <c r="M121" s="80"/>
      <c r="N121" s="79" t="s">
        <v>737</v>
      </c>
      <c r="O121" s="79">
        <v>33718</v>
      </c>
      <c r="P121" s="211">
        <v>30744</v>
      </c>
      <c r="Q121" s="80">
        <v>10000</v>
      </c>
      <c r="R121" s="80"/>
      <c r="S121" s="186">
        <v>45660</v>
      </c>
      <c r="T121" s="186">
        <v>46022</v>
      </c>
      <c r="U121" s="187">
        <f t="shared" si="3"/>
        <v>362</v>
      </c>
      <c r="V121" s="77">
        <v>30744</v>
      </c>
      <c r="W121" s="79" t="s">
        <v>267</v>
      </c>
      <c r="X121" s="80" t="s">
        <v>283</v>
      </c>
      <c r="Y121" s="79" t="s">
        <v>360</v>
      </c>
      <c r="Z121" s="79" t="s">
        <v>361</v>
      </c>
      <c r="AA121" s="81" t="s">
        <v>266</v>
      </c>
      <c r="AB121" s="131" t="s">
        <v>618</v>
      </c>
      <c r="AC121" s="132">
        <v>100000000</v>
      </c>
      <c r="AD121" s="79" t="s">
        <v>48</v>
      </c>
      <c r="AE121" s="80" t="s">
        <v>41</v>
      </c>
      <c r="AF121" s="80"/>
      <c r="AG121" s="80"/>
      <c r="AH121" s="619"/>
      <c r="AI121" s="622"/>
      <c r="AJ121" s="80"/>
      <c r="AK121" s="80"/>
      <c r="AL121" s="80"/>
      <c r="AM121" s="625"/>
      <c r="AN121" s="79" t="s">
        <v>182</v>
      </c>
      <c r="AO121" s="79" t="s">
        <v>664</v>
      </c>
      <c r="AP121" s="609"/>
      <c r="AQ121" s="609"/>
      <c r="AR121" s="628"/>
      <c r="AS121" s="609"/>
      <c r="AT121" s="609"/>
      <c r="AU121" s="609"/>
      <c r="AV121" s="609"/>
      <c r="AW121" s="4"/>
      <c r="AX121" s="4"/>
      <c r="AY121" s="4"/>
      <c r="AZ121" s="4"/>
      <c r="BA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row>
    <row r="122" spans="1:119" s="158" customFormat="1" ht="151.80000000000001">
      <c r="A122" s="77" t="s">
        <v>174</v>
      </c>
      <c r="B122" s="77" t="s">
        <v>114</v>
      </c>
      <c r="C122" s="78" t="s">
        <v>278</v>
      </c>
      <c r="D122" s="77" t="s">
        <v>133</v>
      </c>
      <c r="E122" s="77" t="s">
        <v>182</v>
      </c>
      <c r="F122" s="184">
        <v>2024130010139</v>
      </c>
      <c r="G122" s="77" t="s">
        <v>190</v>
      </c>
      <c r="H122" s="77" t="s">
        <v>203</v>
      </c>
      <c r="I122" s="77" t="s">
        <v>162</v>
      </c>
      <c r="J122" s="172">
        <v>15796</v>
      </c>
      <c r="K122" s="210">
        <v>0.45</v>
      </c>
      <c r="L122" s="79" t="s">
        <v>232</v>
      </c>
      <c r="M122" s="80"/>
      <c r="N122" s="79" t="s">
        <v>737</v>
      </c>
      <c r="O122" s="79">
        <v>33718</v>
      </c>
      <c r="P122" s="211">
        <v>30744</v>
      </c>
      <c r="Q122" s="80">
        <v>10000</v>
      </c>
      <c r="R122" s="80"/>
      <c r="S122" s="186">
        <v>45660</v>
      </c>
      <c r="T122" s="186">
        <v>46022</v>
      </c>
      <c r="U122" s="187">
        <f t="shared" si="3"/>
        <v>362</v>
      </c>
      <c r="V122" s="77">
        <v>30744</v>
      </c>
      <c r="W122" s="79" t="s">
        <v>267</v>
      </c>
      <c r="X122" s="80" t="s">
        <v>283</v>
      </c>
      <c r="Y122" s="79" t="s">
        <v>360</v>
      </c>
      <c r="Z122" s="79" t="s">
        <v>361</v>
      </c>
      <c r="AA122" s="81" t="s">
        <v>266</v>
      </c>
      <c r="AB122" s="131" t="s">
        <v>511</v>
      </c>
      <c r="AC122" s="132">
        <v>475398000</v>
      </c>
      <c r="AD122" s="79" t="s">
        <v>47</v>
      </c>
      <c r="AE122" s="80" t="s">
        <v>41</v>
      </c>
      <c r="AF122" s="80"/>
      <c r="AG122" s="80"/>
      <c r="AH122" s="619"/>
      <c r="AI122" s="622"/>
      <c r="AJ122" s="80"/>
      <c r="AK122" s="80"/>
      <c r="AL122" s="80"/>
      <c r="AM122" s="625"/>
      <c r="AN122" s="79" t="s">
        <v>182</v>
      </c>
      <c r="AO122" s="79" t="s">
        <v>664</v>
      </c>
      <c r="AP122" s="609"/>
      <c r="AQ122" s="609"/>
      <c r="AR122" s="628"/>
      <c r="AS122" s="609"/>
      <c r="AT122" s="609"/>
      <c r="AU122" s="609"/>
      <c r="AV122" s="609"/>
      <c r="AW122" s="4"/>
      <c r="AX122" s="4"/>
      <c r="AY122" s="4"/>
      <c r="AZ122" s="4"/>
      <c r="BA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row>
    <row r="123" spans="1:119" s="158" customFormat="1" ht="151.80000000000001">
      <c r="A123" s="77" t="s">
        <v>174</v>
      </c>
      <c r="B123" s="77" t="s">
        <v>114</v>
      </c>
      <c r="C123" s="78" t="s">
        <v>278</v>
      </c>
      <c r="D123" s="77" t="s">
        <v>133</v>
      </c>
      <c r="E123" s="77" t="s">
        <v>182</v>
      </c>
      <c r="F123" s="184">
        <v>2024130010139</v>
      </c>
      <c r="G123" s="77" t="s">
        <v>190</v>
      </c>
      <c r="H123" s="77" t="s">
        <v>203</v>
      </c>
      <c r="I123" s="77" t="s">
        <v>162</v>
      </c>
      <c r="J123" s="172">
        <v>15796</v>
      </c>
      <c r="K123" s="210">
        <v>0.45</v>
      </c>
      <c r="L123" s="79" t="s">
        <v>233</v>
      </c>
      <c r="M123" s="80"/>
      <c r="N123" s="79" t="s">
        <v>737</v>
      </c>
      <c r="O123" s="79">
        <v>33718</v>
      </c>
      <c r="P123" s="211">
        <v>30744</v>
      </c>
      <c r="Q123" s="80">
        <v>10000</v>
      </c>
      <c r="R123" s="80"/>
      <c r="S123" s="186">
        <v>45660</v>
      </c>
      <c r="T123" s="186">
        <v>46022</v>
      </c>
      <c r="U123" s="187">
        <f t="shared" si="3"/>
        <v>362</v>
      </c>
      <c r="V123" s="77">
        <v>30744</v>
      </c>
      <c r="W123" s="79" t="s">
        <v>267</v>
      </c>
      <c r="X123" s="80" t="s">
        <v>283</v>
      </c>
      <c r="Y123" s="79" t="s">
        <v>360</v>
      </c>
      <c r="Z123" s="79" t="s">
        <v>361</v>
      </c>
      <c r="AA123" s="81" t="s">
        <v>266</v>
      </c>
      <c r="AB123" s="131" t="s">
        <v>511</v>
      </c>
      <c r="AC123" s="132">
        <v>104328000</v>
      </c>
      <c r="AD123" s="79" t="s">
        <v>47</v>
      </c>
      <c r="AE123" s="80" t="s">
        <v>41</v>
      </c>
      <c r="AF123" s="80"/>
      <c r="AG123" s="80"/>
      <c r="AH123" s="619"/>
      <c r="AI123" s="622"/>
      <c r="AJ123" s="80"/>
      <c r="AK123" s="80"/>
      <c r="AL123" s="80"/>
      <c r="AM123" s="625"/>
      <c r="AN123" s="79" t="s">
        <v>182</v>
      </c>
      <c r="AO123" s="79" t="s">
        <v>664</v>
      </c>
      <c r="AP123" s="609"/>
      <c r="AQ123" s="609"/>
      <c r="AR123" s="628"/>
      <c r="AS123" s="609"/>
      <c r="AT123" s="609"/>
      <c r="AU123" s="609"/>
      <c r="AV123" s="609"/>
      <c r="AW123" s="4"/>
      <c r="AX123" s="4"/>
      <c r="AY123" s="4"/>
      <c r="AZ123" s="4"/>
      <c r="BA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row>
    <row r="124" spans="1:119" s="158" customFormat="1" ht="151.80000000000001">
      <c r="A124" s="77" t="s">
        <v>174</v>
      </c>
      <c r="B124" s="77" t="s">
        <v>114</v>
      </c>
      <c r="C124" s="78" t="s">
        <v>278</v>
      </c>
      <c r="D124" s="77" t="s">
        <v>133</v>
      </c>
      <c r="E124" s="77" t="s">
        <v>182</v>
      </c>
      <c r="F124" s="184">
        <v>2024130010139</v>
      </c>
      <c r="G124" s="77" t="s">
        <v>190</v>
      </c>
      <c r="H124" s="77" t="s">
        <v>333</v>
      </c>
      <c r="I124" s="77" t="s">
        <v>162</v>
      </c>
      <c r="J124" s="172">
        <v>15796</v>
      </c>
      <c r="K124" s="210">
        <v>0.45</v>
      </c>
      <c r="L124" s="79" t="s">
        <v>230</v>
      </c>
      <c r="M124" s="80"/>
      <c r="N124" s="79" t="s">
        <v>738</v>
      </c>
      <c r="O124" s="79">
        <v>33718</v>
      </c>
      <c r="P124" s="211">
        <v>30744</v>
      </c>
      <c r="Q124" s="80">
        <v>10000</v>
      </c>
      <c r="R124" s="80"/>
      <c r="S124" s="186">
        <v>45660</v>
      </c>
      <c r="T124" s="186">
        <v>46022</v>
      </c>
      <c r="U124" s="187">
        <f t="shared" si="3"/>
        <v>362</v>
      </c>
      <c r="V124" s="77">
        <v>30744</v>
      </c>
      <c r="W124" s="79" t="s">
        <v>267</v>
      </c>
      <c r="X124" s="80" t="s">
        <v>283</v>
      </c>
      <c r="Y124" s="79" t="s">
        <v>362</v>
      </c>
      <c r="Z124" s="79" t="s">
        <v>353</v>
      </c>
      <c r="AA124" s="81" t="s">
        <v>266</v>
      </c>
      <c r="AB124" s="131" t="s">
        <v>615</v>
      </c>
      <c r="AC124" s="132">
        <v>134061978</v>
      </c>
      <c r="AD124" s="79" t="s">
        <v>42</v>
      </c>
      <c r="AE124" s="80" t="s">
        <v>41</v>
      </c>
      <c r="AF124" s="80"/>
      <c r="AG124" s="80"/>
      <c r="AH124" s="619"/>
      <c r="AI124" s="622"/>
      <c r="AJ124" s="80"/>
      <c r="AK124" s="80"/>
      <c r="AL124" s="80"/>
      <c r="AM124" s="625"/>
      <c r="AN124" s="79" t="s">
        <v>182</v>
      </c>
      <c r="AO124" s="79" t="s">
        <v>664</v>
      </c>
      <c r="AP124" s="609"/>
      <c r="AQ124" s="609"/>
      <c r="AR124" s="628"/>
      <c r="AS124" s="609"/>
      <c r="AT124" s="609"/>
      <c r="AU124" s="609"/>
      <c r="AV124" s="609"/>
      <c r="AW124" s="4"/>
      <c r="AX124" s="4"/>
      <c r="AY124" s="4"/>
      <c r="AZ124" s="4"/>
      <c r="BA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row>
    <row r="125" spans="1:119" s="158" customFormat="1" ht="151.80000000000001">
      <c r="A125" s="77" t="s">
        <v>174</v>
      </c>
      <c r="B125" s="77" t="s">
        <v>114</v>
      </c>
      <c r="C125" s="78" t="s">
        <v>278</v>
      </c>
      <c r="D125" s="77" t="s">
        <v>133</v>
      </c>
      <c r="E125" s="77" t="s">
        <v>182</v>
      </c>
      <c r="F125" s="184">
        <v>2024130010139</v>
      </c>
      <c r="G125" s="77" t="s">
        <v>190</v>
      </c>
      <c r="H125" s="77" t="s">
        <v>333</v>
      </c>
      <c r="I125" s="77" t="s">
        <v>162</v>
      </c>
      <c r="J125" s="172">
        <v>15796</v>
      </c>
      <c r="K125" s="210">
        <v>0.45</v>
      </c>
      <c r="L125" s="79" t="s">
        <v>230</v>
      </c>
      <c r="M125" s="80"/>
      <c r="N125" s="79" t="s">
        <v>738</v>
      </c>
      <c r="O125" s="79">
        <v>33718</v>
      </c>
      <c r="P125" s="211">
        <v>30744</v>
      </c>
      <c r="Q125" s="80">
        <v>10000</v>
      </c>
      <c r="R125" s="80"/>
      <c r="S125" s="186">
        <v>45660</v>
      </c>
      <c r="T125" s="186">
        <v>46022</v>
      </c>
      <c r="U125" s="187">
        <f t="shared" si="3"/>
        <v>362</v>
      </c>
      <c r="V125" s="77">
        <v>30744</v>
      </c>
      <c r="W125" s="79" t="s">
        <v>267</v>
      </c>
      <c r="X125" s="80" t="s">
        <v>283</v>
      </c>
      <c r="Y125" s="79" t="s">
        <v>362</v>
      </c>
      <c r="Z125" s="79" t="s">
        <v>353</v>
      </c>
      <c r="AA125" s="81" t="s">
        <v>266</v>
      </c>
      <c r="AB125" s="131" t="s">
        <v>616</v>
      </c>
      <c r="AC125" s="132">
        <v>100000000</v>
      </c>
      <c r="AD125" s="79" t="s">
        <v>45</v>
      </c>
      <c r="AE125" s="80" t="s">
        <v>41</v>
      </c>
      <c r="AF125" s="80"/>
      <c r="AG125" s="80"/>
      <c r="AH125" s="619"/>
      <c r="AI125" s="622"/>
      <c r="AJ125" s="80"/>
      <c r="AK125" s="80"/>
      <c r="AL125" s="80"/>
      <c r="AM125" s="625"/>
      <c r="AN125" s="79" t="s">
        <v>182</v>
      </c>
      <c r="AO125" s="79" t="s">
        <v>664</v>
      </c>
      <c r="AP125" s="609"/>
      <c r="AQ125" s="609"/>
      <c r="AR125" s="628"/>
      <c r="AS125" s="609"/>
      <c r="AT125" s="609"/>
      <c r="AU125" s="609"/>
      <c r="AV125" s="609"/>
      <c r="AW125" s="4"/>
      <c r="AX125" s="4"/>
      <c r="AY125" s="4"/>
      <c r="AZ125" s="4"/>
      <c r="BA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row>
    <row r="126" spans="1:119" s="158" customFormat="1" ht="151.80000000000001">
      <c r="A126" s="77" t="s">
        <v>174</v>
      </c>
      <c r="B126" s="77" t="s">
        <v>114</v>
      </c>
      <c r="C126" s="78" t="s">
        <v>278</v>
      </c>
      <c r="D126" s="77" t="s">
        <v>133</v>
      </c>
      <c r="E126" s="77" t="s">
        <v>182</v>
      </c>
      <c r="F126" s="184">
        <v>2024130010139</v>
      </c>
      <c r="G126" s="77" t="s">
        <v>190</v>
      </c>
      <c r="H126" s="77" t="s">
        <v>333</v>
      </c>
      <c r="I126" s="77" t="s">
        <v>162</v>
      </c>
      <c r="J126" s="172">
        <v>15796</v>
      </c>
      <c r="K126" s="210">
        <v>0.45</v>
      </c>
      <c r="L126" s="79" t="s">
        <v>230</v>
      </c>
      <c r="M126" s="80"/>
      <c r="N126" s="79" t="s">
        <v>738</v>
      </c>
      <c r="O126" s="79">
        <v>33718</v>
      </c>
      <c r="P126" s="211">
        <v>30744</v>
      </c>
      <c r="Q126" s="80">
        <v>10000</v>
      </c>
      <c r="R126" s="80"/>
      <c r="S126" s="186">
        <v>45660</v>
      </c>
      <c r="T126" s="186">
        <v>46022</v>
      </c>
      <c r="U126" s="187">
        <f t="shared" si="3"/>
        <v>362</v>
      </c>
      <c r="V126" s="77">
        <v>30744</v>
      </c>
      <c r="W126" s="79" t="s">
        <v>267</v>
      </c>
      <c r="X126" s="80" t="s">
        <v>283</v>
      </c>
      <c r="Y126" s="79" t="s">
        <v>362</v>
      </c>
      <c r="Z126" s="79" t="s">
        <v>353</v>
      </c>
      <c r="AA126" s="81" t="s">
        <v>266</v>
      </c>
      <c r="AB126" s="131" t="s">
        <v>617</v>
      </c>
      <c r="AC126" s="132">
        <v>20000000</v>
      </c>
      <c r="AD126" s="79" t="s">
        <v>45</v>
      </c>
      <c r="AE126" s="80" t="s">
        <v>41</v>
      </c>
      <c r="AF126" s="80"/>
      <c r="AG126" s="80"/>
      <c r="AH126" s="619"/>
      <c r="AI126" s="622"/>
      <c r="AJ126" s="80"/>
      <c r="AK126" s="80"/>
      <c r="AL126" s="80"/>
      <c r="AM126" s="625"/>
      <c r="AN126" s="79" t="s">
        <v>182</v>
      </c>
      <c r="AO126" s="79" t="s">
        <v>664</v>
      </c>
      <c r="AP126" s="609"/>
      <c r="AQ126" s="609"/>
      <c r="AR126" s="628"/>
      <c r="AS126" s="609"/>
      <c r="AT126" s="609"/>
      <c r="AU126" s="609"/>
      <c r="AV126" s="609"/>
      <c r="AW126" s="4"/>
      <c r="AX126" s="4"/>
      <c r="AY126" s="4"/>
      <c r="AZ126" s="4"/>
      <c r="BA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row>
    <row r="127" spans="1:119" s="158" customFormat="1" ht="151.80000000000001">
      <c r="A127" s="77" t="s">
        <v>174</v>
      </c>
      <c r="B127" s="77" t="s">
        <v>114</v>
      </c>
      <c r="C127" s="78" t="s">
        <v>278</v>
      </c>
      <c r="D127" s="77" t="s">
        <v>133</v>
      </c>
      <c r="E127" s="77" t="s">
        <v>182</v>
      </c>
      <c r="F127" s="184">
        <v>2024130010139</v>
      </c>
      <c r="G127" s="77" t="s">
        <v>190</v>
      </c>
      <c r="H127" s="77" t="s">
        <v>333</v>
      </c>
      <c r="I127" s="77" t="s">
        <v>162</v>
      </c>
      <c r="J127" s="172">
        <v>15796</v>
      </c>
      <c r="K127" s="210">
        <v>0.45</v>
      </c>
      <c r="L127" s="79" t="s">
        <v>230</v>
      </c>
      <c r="M127" s="80"/>
      <c r="N127" s="79" t="s">
        <v>738</v>
      </c>
      <c r="O127" s="79">
        <v>33718</v>
      </c>
      <c r="P127" s="211">
        <v>30744</v>
      </c>
      <c r="Q127" s="80">
        <v>10000</v>
      </c>
      <c r="R127" s="80"/>
      <c r="S127" s="186">
        <v>45660</v>
      </c>
      <c r="T127" s="186">
        <v>46022</v>
      </c>
      <c r="U127" s="187">
        <f t="shared" si="3"/>
        <v>362</v>
      </c>
      <c r="V127" s="77">
        <v>30744</v>
      </c>
      <c r="W127" s="79" t="s">
        <v>267</v>
      </c>
      <c r="X127" s="80" t="s">
        <v>283</v>
      </c>
      <c r="Y127" s="79" t="s">
        <v>362</v>
      </c>
      <c r="Z127" s="79" t="s">
        <v>353</v>
      </c>
      <c r="AA127" s="81" t="s">
        <v>266</v>
      </c>
      <c r="AB127" s="131" t="s">
        <v>618</v>
      </c>
      <c r="AC127" s="132">
        <v>126578391.00399999</v>
      </c>
      <c r="AD127" s="79" t="s">
        <v>46</v>
      </c>
      <c r="AE127" s="80" t="s">
        <v>41</v>
      </c>
      <c r="AF127" s="80"/>
      <c r="AG127" s="80"/>
      <c r="AH127" s="619"/>
      <c r="AI127" s="622"/>
      <c r="AJ127" s="80"/>
      <c r="AK127" s="80"/>
      <c r="AL127" s="80"/>
      <c r="AM127" s="625"/>
      <c r="AN127" s="79" t="s">
        <v>182</v>
      </c>
      <c r="AO127" s="79" t="s">
        <v>664</v>
      </c>
      <c r="AP127" s="609"/>
      <c r="AQ127" s="609"/>
      <c r="AR127" s="628"/>
      <c r="AS127" s="609"/>
      <c r="AT127" s="609"/>
      <c r="AU127" s="609"/>
      <c r="AV127" s="609"/>
      <c r="AW127" s="4"/>
      <c r="AX127" s="4"/>
      <c r="AY127" s="4"/>
      <c r="AZ127" s="4"/>
      <c r="BA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row>
    <row r="128" spans="1:119" s="158" customFormat="1" ht="151.80000000000001">
      <c r="A128" s="77" t="s">
        <v>174</v>
      </c>
      <c r="B128" s="77" t="s">
        <v>114</v>
      </c>
      <c r="C128" s="78" t="s">
        <v>278</v>
      </c>
      <c r="D128" s="77" t="s">
        <v>133</v>
      </c>
      <c r="E128" s="77" t="s">
        <v>182</v>
      </c>
      <c r="F128" s="184">
        <v>2024130010139</v>
      </c>
      <c r="G128" s="77" t="s">
        <v>190</v>
      </c>
      <c r="H128" s="77" t="s">
        <v>333</v>
      </c>
      <c r="I128" s="77" t="s">
        <v>162</v>
      </c>
      <c r="J128" s="172">
        <v>15796</v>
      </c>
      <c r="K128" s="210">
        <v>0.45</v>
      </c>
      <c r="L128" s="79" t="s">
        <v>231</v>
      </c>
      <c r="M128" s="80"/>
      <c r="N128" s="79" t="s">
        <v>578</v>
      </c>
      <c r="O128" s="79">
        <v>33718</v>
      </c>
      <c r="P128" s="211">
        <v>20</v>
      </c>
      <c r="Q128" s="80">
        <v>10000</v>
      </c>
      <c r="R128" s="80"/>
      <c r="S128" s="186">
        <v>45660</v>
      </c>
      <c r="T128" s="186">
        <v>46022</v>
      </c>
      <c r="U128" s="187">
        <f t="shared" si="3"/>
        <v>362</v>
      </c>
      <c r="V128" s="77">
        <v>30744</v>
      </c>
      <c r="W128" s="79" t="s">
        <v>267</v>
      </c>
      <c r="X128" s="80" t="s">
        <v>283</v>
      </c>
      <c r="Y128" s="79" t="s">
        <v>362</v>
      </c>
      <c r="Z128" s="79" t="s">
        <v>353</v>
      </c>
      <c r="AA128" s="81" t="s">
        <v>266</v>
      </c>
      <c r="AB128" s="131" t="s">
        <v>511</v>
      </c>
      <c r="AC128" s="132">
        <v>108612000</v>
      </c>
      <c r="AD128" s="79" t="s">
        <v>47</v>
      </c>
      <c r="AE128" s="80" t="s">
        <v>41</v>
      </c>
      <c r="AF128" s="80"/>
      <c r="AG128" s="80"/>
      <c r="AH128" s="619"/>
      <c r="AI128" s="622"/>
      <c r="AJ128" s="80"/>
      <c r="AK128" s="80"/>
      <c r="AL128" s="80"/>
      <c r="AM128" s="625"/>
      <c r="AN128" s="79" t="s">
        <v>182</v>
      </c>
      <c r="AO128" s="79" t="s">
        <v>664</v>
      </c>
      <c r="AP128" s="609"/>
      <c r="AQ128" s="609"/>
      <c r="AR128" s="628"/>
      <c r="AS128" s="609"/>
      <c r="AT128" s="609"/>
      <c r="AU128" s="609"/>
      <c r="AV128" s="609"/>
      <c r="AW128" s="4"/>
      <c r="AX128" s="4"/>
      <c r="AY128" s="4"/>
      <c r="AZ128" s="4"/>
      <c r="BA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row>
    <row r="129" spans="1:119" s="158" customFormat="1" ht="151.80000000000001">
      <c r="A129" s="77" t="s">
        <v>174</v>
      </c>
      <c r="B129" s="77" t="s">
        <v>114</v>
      </c>
      <c r="C129" s="78" t="s">
        <v>278</v>
      </c>
      <c r="D129" s="77" t="s">
        <v>133</v>
      </c>
      <c r="E129" s="77" t="s">
        <v>182</v>
      </c>
      <c r="F129" s="184">
        <v>2024130010139</v>
      </c>
      <c r="G129" s="77" t="s">
        <v>190</v>
      </c>
      <c r="H129" s="77" t="s">
        <v>333</v>
      </c>
      <c r="I129" s="77" t="s">
        <v>162</v>
      </c>
      <c r="J129" s="172">
        <v>15796</v>
      </c>
      <c r="K129" s="210">
        <v>0.45</v>
      </c>
      <c r="L129" s="79" t="s">
        <v>231</v>
      </c>
      <c r="M129" s="80"/>
      <c r="N129" s="79" t="s">
        <v>578</v>
      </c>
      <c r="O129" s="79">
        <v>33718</v>
      </c>
      <c r="P129" s="211">
        <v>20</v>
      </c>
      <c r="Q129" s="80">
        <v>10000</v>
      </c>
      <c r="R129" s="80"/>
      <c r="S129" s="186">
        <v>45660</v>
      </c>
      <c r="T129" s="186">
        <v>46022</v>
      </c>
      <c r="U129" s="187">
        <f t="shared" si="3"/>
        <v>362</v>
      </c>
      <c r="V129" s="77">
        <v>30744</v>
      </c>
      <c r="W129" s="79" t="s">
        <v>267</v>
      </c>
      <c r="X129" s="80" t="s">
        <v>283</v>
      </c>
      <c r="Y129" s="79" t="s">
        <v>362</v>
      </c>
      <c r="Z129" s="79" t="s">
        <v>353</v>
      </c>
      <c r="AA129" s="81" t="s">
        <v>266</v>
      </c>
      <c r="AB129" s="131" t="s">
        <v>581</v>
      </c>
      <c r="AC129" s="132">
        <v>100000000</v>
      </c>
      <c r="AD129" s="79" t="s">
        <v>44</v>
      </c>
      <c r="AE129" s="80" t="s">
        <v>41</v>
      </c>
      <c r="AF129" s="80"/>
      <c r="AG129" s="80"/>
      <c r="AH129" s="620"/>
      <c r="AI129" s="623"/>
      <c r="AJ129" s="80"/>
      <c r="AK129" s="80"/>
      <c r="AL129" s="80"/>
      <c r="AM129" s="626"/>
      <c r="AN129" s="79" t="s">
        <v>182</v>
      </c>
      <c r="AO129" s="79" t="s">
        <v>664</v>
      </c>
      <c r="AP129" s="610"/>
      <c r="AQ129" s="610"/>
      <c r="AR129" s="629"/>
      <c r="AS129" s="610"/>
      <c r="AT129" s="610"/>
      <c r="AU129" s="610"/>
      <c r="AV129" s="610"/>
      <c r="AW129" s="4"/>
      <c r="AX129" s="4"/>
      <c r="AY129" s="4"/>
      <c r="AZ129" s="4"/>
      <c r="BA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row>
    <row r="130" spans="1:119" s="158" customFormat="1" ht="42.75" customHeight="1">
      <c r="A130" s="77"/>
      <c r="B130" s="77"/>
      <c r="C130" s="78"/>
      <c r="D130" s="77"/>
      <c r="E130" s="513" t="s">
        <v>696</v>
      </c>
      <c r="F130" s="514"/>
      <c r="G130" s="514"/>
      <c r="H130" s="514"/>
      <c r="I130" s="514"/>
      <c r="J130" s="514"/>
      <c r="K130" s="514"/>
      <c r="L130" s="514"/>
      <c r="M130" s="514"/>
      <c r="N130" s="514"/>
      <c r="O130" s="514"/>
      <c r="P130" s="514"/>
      <c r="Q130" s="515"/>
      <c r="R130" s="80"/>
      <c r="S130" s="186"/>
      <c r="T130" s="186"/>
      <c r="U130" s="187"/>
      <c r="V130" s="77"/>
      <c r="W130" s="79"/>
      <c r="X130" s="80"/>
      <c r="Y130" s="79"/>
      <c r="Z130" s="79"/>
      <c r="AA130" s="81"/>
      <c r="AB130" s="131"/>
      <c r="AC130" s="132"/>
      <c r="AD130" s="79"/>
      <c r="AE130" s="80"/>
      <c r="AF130" s="80"/>
      <c r="AG130" s="80"/>
      <c r="AH130" s="297"/>
      <c r="AI130" s="298"/>
      <c r="AJ130" s="80"/>
      <c r="AK130" s="80"/>
      <c r="AL130" s="80"/>
      <c r="AM130" s="301"/>
      <c r="AN130" s="79"/>
      <c r="AO130" s="318" t="s">
        <v>689</v>
      </c>
      <c r="AP130" s="310">
        <f>SUM(AP116)</f>
        <v>3656986372.5799999</v>
      </c>
      <c r="AQ130" s="310">
        <f>SUM(AQ116)</f>
        <v>1390029739.48</v>
      </c>
      <c r="AR130" s="342">
        <f>SUM(AR116)</f>
        <v>0.38009999999999999</v>
      </c>
      <c r="AS130" s="310">
        <f>SUM(AS116)</f>
        <v>0</v>
      </c>
      <c r="AT130" s="310">
        <f>SUM(AT116)</f>
        <v>0</v>
      </c>
      <c r="AU130" s="343">
        <v>0</v>
      </c>
      <c r="AV130" s="343">
        <v>0</v>
      </c>
      <c r="AW130" s="4"/>
      <c r="AX130" s="4"/>
      <c r="AY130" s="4"/>
      <c r="AZ130" s="4"/>
      <c r="BA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row>
    <row r="131" spans="1:119" s="159" customFormat="1" ht="55.2">
      <c r="A131" s="82" t="s">
        <v>172</v>
      </c>
      <c r="B131" s="82" t="s">
        <v>115</v>
      </c>
      <c r="C131" s="83" t="s">
        <v>279</v>
      </c>
      <c r="D131" s="82" t="s">
        <v>134</v>
      </c>
      <c r="E131" s="82" t="s">
        <v>183</v>
      </c>
      <c r="F131" s="84">
        <v>2024130010142</v>
      </c>
      <c r="G131" s="82" t="s">
        <v>191</v>
      </c>
      <c r="H131" s="82" t="s">
        <v>204</v>
      </c>
      <c r="I131" s="82" t="s">
        <v>163</v>
      </c>
      <c r="J131" s="173">
        <v>40</v>
      </c>
      <c r="K131" s="210">
        <v>0.2</v>
      </c>
      <c r="L131" s="85" t="s">
        <v>518</v>
      </c>
      <c r="M131" s="86"/>
      <c r="N131" s="85" t="s">
        <v>577</v>
      </c>
      <c r="O131" s="85">
        <v>70</v>
      </c>
      <c r="P131" s="211">
        <v>85</v>
      </c>
      <c r="Q131" s="86">
        <v>5</v>
      </c>
      <c r="R131" s="86"/>
      <c r="S131" s="186">
        <v>45660</v>
      </c>
      <c r="T131" s="186">
        <v>46022</v>
      </c>
      <c r="U131" s="187">
        <f t="shared" si="3"/>
        <v>362</v>
      </c>
      <c r="V131" s="86"/>
      <c r="W131" s="85" t="s">
        <v>267</v>
      </c>
      <c r="X131" s="85" t="s">
        <v>284</v>
      </c>
      <c r="Y131" s="82" t="s">
        <v>334</v>
      </c>
      <c r="Z131" s="82" t="s">
        <v>335</v>
      </c>
      <c r="AA131" s="87" t="s">
        <v>266</v>
      </c>
      <c r="AB131" s="85" t="s">
        <v>579</v>
      </c>
      <c r="AC131" s="125">
        <v>500000000</v>
      </c>
      <c r="AD131" s="85" t="s">
        <v>45</v>
      </c>
      <c r="AE131" s="86" t="s">
        <v>41</v>
      </c>
      <c r="AF131" s="86"/>
      <c r="AG131" s="86"/>
      <c r="AH131" s="612">
        <v>770484000</v>
      </c>
      <c r="AI131" s="612"/>
      <c r="AJ131" s="86"/>
      <c r="AK131" s="86"/>
      <c r="AL131" s="86"/>
      <c r="AM131" s="615" t="s">
        <v>567</v>
      </c>
      <c r="AN131" s="85" t="s">
        <v>183</v>
      </c>
      <c r="AO131" s="149" t="s">
        <v>666</v>
      </c>
      <c r="AP131" s="602">
        <v>770484000</v>
      </c>
      <c r="AQ131" s="602">
        <v>453484000</v>
      </c>
      <c r="AR131" s="599">
        <v>0.58860000000000001</v>
      </c>
      <c r="AS131" s="602">
        <v>198800000</v>
      </c>
      <c r="AT131" s="602">
        <v>198800000</v>
      </c>
      <c r="AU131" s="605">
        <f>+AS131/AP131</f>
        <v>0.25801963441161657</v>
      </c>
      <c r="AV131" s="605">
        <f>+AT131/AP131</f>
        <v>0.25801963441161657</v>
      </c>
      <c r="AW131" s="4"/>
      <c r="AX131" s="4"/>
      <c r="AY131" s="4"/>
      <c r="AZ131" s="4"/>
      <c r="BA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row>
    <row r="132" spans="1:119" s="159" customFormat="1" ht="69">
      <c r="A132" s="82" t="s">
        <v>172</v>
      </c>
      <c r="B132" s="82" t="s">
        <v>115</v>
      </c>
      <c r="C132" s="83" t="s">
        <v>279</v>
      </c>
      <c r="D132" s="82" t="s">
        <v>135</v>
      </c>
      <c r="E132" s="82" t="s">
        <v>183</v>
      </c>
      <c r="F132" s="84">
        <v>2024130010142</v>
      </c>
      <c r="G132" s="82" t="s">
        <v>191</v>
      </c>
      <c r="H132" s="82" t="s">
        <v>204</v>
      </c>
      <c r="I132" s="82" t="s">
        <v>164</v>
      </c>
      <c r="J132" s="173">
        <v>18000</v>
      </c>
      <c r="K132" s="210">
        <v>0.35</v>
      </c>
      <c r="L132" s="88" t="s">
        <v>237</v>
      </c>
      <c r="M132" s="86"/>
      <c r="N132" s="85" t="s">
        <v>553</v>
      </c>
      <c r="O132" s="85">
        <v>20000</v>
      </c>
      <c r="P132" s="211">
        <v>15000</v>
      </c>
      <c r="Q132" s="86">
        <v>14328</v>
      </c>
      <c r="R132" s="86"/>
      <c r="S132" s="186">
        <v>45660</v>
      </c>
      <c r="T132" s="186">
        <v>46022</v>
      </c>
      <c r="U132" s="187">
        <f t="shared" si="3"/>
        <v>362</v>
      </c>
      <c r="V132" s="82">
        <v>15000</v>
      </c>
      <c r="W132" s="85" t="s">
        <v>267</v>
      </c>
      <c r="X132" s="85" t="s">
        <v>284</v>
      </c>
      <c r="Y132" s="82" t="s">
        <v>336</v>
      </c>
      <c r="Z132" s="85" t="s">
        <v>337</v>
      </c>
      <c r="AA132" s="87" t="s">
        <v>266</v>
      </c>
      <c r="AB132" s="85" t="s">
        <v>579</v>
      </c>
      <c r="AC132" s="125">
        <v>50000000</v>
      </c>
      <c r="AD132" s="85" t="s">
        <v>45</v>
      </c>
      <c r="AE132" s="86" t="s">
        <v>41</v>
      </c>
      <c r="AF132" s="86"/>
      <c r="AG132" s="86"/>
      <c r="AH132" s="613"/>
      <c r="AI132" s="613"/>
      <c r="AJ132" s="86"/>
      <c r="AK132" s="86"/>
      <c r="AL132" s="86"/>
      <c r="AM132" s="616"/>
      <c r="AN132" s="85" t="s">
        <v>183</v>
      </c>
      <c r="AO132" s="149" t="s">
        <v>667</v>
      </c>
      <c r="AP132" s="603"/>
      <c r="AQ132" s="603"/>
      <c r="AR132" s="600"/>
      <c r="AS132" s="603"/>
      <c r="AT132" s="603"/>
      <c r="AU132" s="606"/>
      <c r="AV132" s="606"/>
      <c r="AW132" s="4"/>
      <c r="AX132" s="4"/>
      <c r="AY132" s="4"/>
      <c r="AZ132" s="4"/>
      <c r="BA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row>
    <row r="133" spans="1:119" s="159" customFormat="1" ht="55.2">
      <c r="A133" s="82" t="s">
        <v>172</v>
      </c>
      <c r="B133" s="82" t="s">
        <v>115</v>
      </c>
      <c r="C133" s="83" t="s">
        <v>279</v>
      </c>
      <c r="D133" s="82" t="s">
        <v>137</v>
      </c>
      <c r="E133" s="82" t="s">
        <v>183</v>
      </c>
      <c r="F133" s="84">
        <v>2024130010142</v>
      </c>
      <c r="G133" s="82" t="s">
        <v>191</v>
      </c>
      <c r="H133" s="82" t="s">
        <v>204</v>
      </c>
      <c r="I133" s="82" t="s">
        <v>166</v>
      </c>
      <c r="J133" s="173">
        <f>16391+18871+1258</f>
        <v>36520</v>
      </c>
      <c r="K133" s="210">
        <v>0.25</v>
      </c>
      <c r="L133" s="85" t="s">
        <v>245</v>
      </c>
      <c r="M133" s="86"/>
      <c r="N133" s="85" t="s">
        <v>554</v>
      </c>
      <c r="O133" s="85">
        <v>32637</v>
      </c>
      <c r="P133" s="211">
        <v>17000</v>
      </c>
      <c r="Q133" s="86">
        <v>493</v>
      </c>
      <c r="R133" s="86"/>
      <c r="S133" s="186">
        <v>45660</v>
      </c>
      <c r="T133" s="186">
        <v>46022</v>
      </c>
      <c r="U133" s="187">
        <f t="shared" si="3"/>
        <v>362</v>
      </c>
      <c r="V133" s="82">
        <v>17000</v>
      </c>
      <c r="W133" s="85" t="s">
        <v>267</v>
      </c>
      <c r="X133" s="85" t="s">
        <v>284</v>
      </c>
      <c r="Y133" s="82" t="s">
        <v>338</v>
      </c>
      <c r="Z133" s="85" t="s">
        <v>339</v>
      </c>
      <c r="AA133" s="87" t="s">
        <v>266</v>
      </c>
      <c r="AB133" s="85" t="s">
        <v>579</v>
      </c>
      <c r="AC133" s="125">
        <v>50000000</v>
      </c>
      <c r="AD133" s="85" t="s">
        <v>45</v>
      </c>
      <c r="AE133" s="86" t="s">
        <v>41</v>
      </c>
      <c r="AF133" s="86"/>
      <c r="AG133" s="86"/>
      <c r="AH133" s="613"/>
      <c r="AI133" s="613"/>
      <c r="AJ133" s="86"/>
      <c r="AK133" s="86"/>
      <c r="AL133" s="86"/>
      <c r="AM133" s="616"/>
      <c r="AN133" s="85" t="s">
        <v>183</v>
      </c>
      <c r="AO133" s="149" t="s">
        <v>668</v>
      </c>
      <c r="AP133" s="603"/>
      <c r="AQ133" s="603"/>
      <c r="AR133" s="600"/>
      <c r="AS133" s="603"/>
      <c r="AT133" s="603"/>
      <c r="AU133" s="606"/>
      <c r="AV133" s="606"/>
      <c r="AW133" s="4"/>
      <c r="AX133" s="4"/>
      <c r="AY133" s="4"/>
      <c r="AZ133" s="4"/>
      <c r="BA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row>
    <row r="134" spans="1:119" s="159" customFormat="1" ht="82.8">
      <c r="A134" s="82" t="s">
        <v>172</v>
      </c>
      <c r="B134" s="82" t="s">
        <v>115</v>
      </c>
      <c r="C134" s="83" t="s">
        <v>279</v>
      </c>
      <c r="D134" s="82" t="s">
        <v>137</v>
      </c>
      <c r="E134" s="82" t="s">
        <v>183</v>
      </c>
      <c r="F134" s="84">
        <v>2024130010142</v>
      </c>
      <c r="G134" s="82" t="s">
        <v>191</v>
      </c>
      <c r="H134" s="82" t="s">
        <v>244</v>
      </c>
      <c r="I134" s="82" t="s">
        <v>166</v>
      </c>
      <c r="J134" s="173">
        <f>16391+18871+1258</f>
        <v>36520</v>
      </c>
      <c r="K134" s="210">
        <v>0.25</v>
      </c>
      <c r="L134" s="88" t="s">
        <v>246</v>
      </c>
      <c r="M134" s="86"/>
      <c r="N134" s="85" t="s">
        <v>739</v>
      </c>
      <c r="O134" s="85">
        <v>32637</v>
      </c>
      <c r="P134" s="211">
        <v>3</v>
      </c>
      <c r="Q134" s="86">
        <v>493</v>
      </c>
      <c r="R134" s="86"/>
      <c r="S134" s="186">
        <v>45660</v>
      </c>
      <c r="T134" s="186">
        <v>46022</v>
      </c>
      <c r="U134" s="187">
        <f t="shared" si="3"/>
        <v>362</v>
      </c>
      <c r="V134" s="82">
        <v>17000</v>
      </c>
      <c r="W134" s="85" t="s">
        <v>267</v>
      </c>
      <c r="X134" s="85" t="s">
        <v>284</v>
      </c>
      <c r="Y134" s="82" t="s">
        <v>340</v>
      </c>
      <c r="Z134" s="85" t="s">
        <v>341</v>
      </c>
      <c r="AA134" s="86" t="s">
        <v>266</v>
      </c>
      <c r="AB134" s="85" t="s">
        <v>580</v>
      </c>
      <c r="AC134" s="125">
        <v>70484000</v>
      </c>
      <c r="AD134" s="85" t="s">
        <v>45</v>
      </c>
      <c r="AE134" s="86" t="s">
        <v>41</v>
      </c>
      <c r="AF134" s="86"/>
      <c r="AG134" s="86"/>
      <c r="AH134" s="613"/>
      <c r="AI134" s="613"/>
      <c r="AJ134" s="86"/>
      <c r="AK134" s="86"/>
      <c r="AL134" s="359"/>
      <c r="AM134" s="616"/>
      <c r="AN134" s="85" t="s">
        <v>183</v>
      </c>
      <c r="AO134" s="149" t="s">
        <v>668</v>
      </c>
      <c r="AP134" s="603"/>
      <c r="AQ134" s="603"/>
      <c r="AR134" s="600"/>
      <c r="AS134" s="603"/>
      <c r="AT134" s="603"/>
      <c r="AU134" s="606"/>
      <c r="AV134" s="606"/>
      <c r="AW134" s="4"/>
      <c r="AX134" s="4"/>
      <c r="AY134" s="4"/>
      <c r="AZ134" s="4"/>
      <c r="BA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row>
    <row r="135" spans="1:119" s="159" customFormat="1" ht="82.8">
      <c r="A135" s="82" t="s">
        <v>172</v>
      </c>
      <c r="B135" s="82" t="s">
        <v>115</v>
      </c>
      <c r="C135" s="83" t="s">
        <v>279</v>
      </c>
      <c r="D135" s="82" t="s">
        <v>137</v>
      </c>
      <c r="E135" s="82" t="s">
        <v>183</v>
      </c>
      <c r="F135" s="84">
        <v>2024130010142</v>
      </c>
      <c r="G135" s="82" t="s">
        <v>191</v>
      </c>
      <c r="H135" s="82" t="s">
        <v>244</v>
      </c>
      <c r="I135" s="82" t="s">
        <v>166</v>
      </c>
      <c r="J135" s="173">
        <f>16391+18871+1258</f>
        <v>36520</v>
      </c>
      <c r="K135" s="210">
        <v>0.25</v>
      </c>
      <c r="L135" s="85" t="s">
        <v>247</v>
      </c>
      <c r="M135" s="86"/>
      <c r="N135" s="85" t="s">
        <v>578</v>
      </c>
      <c r="O135" s="85">
        <v>100</v>
      </c>
      <c r="P135" s="211">
        <f>2*85</f>
        <v>170</v>
      </c>
      <c r="Q135" s="86">
        <v>493</v>
      </c>
      <c r="R135" s="86"/>
      <c r="S135" s="186">
        <v>45660</v>
      </c>
      <c r="T135" s="186">
        <v>46022</v>
      </c>
      <c r="U135" s="187">
        <f t="shared" si="3"/>
        <v>362</v>
      </c>
      <c r="V135" s="82">
        <f>+V134+V132</f>
        <v>32000</v>
      </c>
      <c r="W135" s="85" t="s">
        <v>267</v>
      </c>
      <c r="X135" s="85" t="s">
        <v>284</v>
      </c>
      <c r="Y135" s="82" t="s">
        <v>340</v>
      </c>
      <c r="Z135" s="85" t="s">
        <v>341</v>
      </c>
      <c r="AA135" s="86" t="s">
        <v>266</v>
      </c>
      <c r="AB135" s="85" t="s">
        <v>579</v>
      </c>
      <c r="AC135" s="125">
        <v>100000000</v>
      </c>
      <c r="AD135" s="85" t="s">
        <v>45</v>
      </c>
      <c r="AE135" s="86" t="s">
        <v>41</v>
      </c>
      <c r="AF135" s="86"/>
      <c r="AG135" s="86"/>
      <c r="AH135" s="614"/>
      <c r="AI135" s="614"/>
      <c r="AJ135" s="86"/>
      <c r="AK135" s="86"/>
      <c r="AL135" s="359"/>
      <c r="AM135" s="617"/>
      <c r="AN135" s="85" t="s">
        <v>183</v>
      </c>
      <c r="AO135" s="149" t="s">
        <v>668</v>
      </c>
      <c r="AP135" s="604"/>
      <c r="AQ135" s="604"/>
      <c r="AR135" s="601"/>
      <c r="AS135" s="604"/>
      <c r="AT135" s="604"/>
      <c r="AU135" s="607"/>
      <c r="AV135" s="607"/>
      <c r="AW135" s="4"/>
      <c r="AX135" s="4"/>
      <c r="AY135" s="4"/>
      <c r="AZ135" s="4"/>
      <c r="BA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row>
    <row r="136" spans="1:119" s="159" customFormat="1" ht="49.5" customHeight="1">
      <c r="A136" s="82"/>
      <c r="B136" s="82"/>
      <c r="C136" s="83"/>
      <c r="D136" s="82"/>
      <c r="E136" s="513" t="s">
        <v>697</v>
      </c>
      <c r="F136" s="514"/>
      <c r="G136" s="514"/>
      <c r="H136" s="514"/>
      <c r="I136" s="514"/>
      <c r="J136" s="514"/>
      <c r="K136" s="514"/>
      <c r="L136" s="514"/>
      <c r="M136" s="514"/>
      <c r="N136" s="514"/>
      <c r="O136" s="514"/>
      <c r="P136" s="514"/>
      <c r="Q136" s="515"/>
      <c r="R136" s="86"/>
      <c r="S136" s="186"/>
      <c r="T136" s="186"/>
      <c r="U136" s="187"/>
      <c r="V136" s="82"/>
      <c r="W136" s="85"/>
      <c r="X136" s="85"/>
      <c r="Y136" s="82"/>
      <c r="Z136" s="85"/>
      <c r="AA136" s="86"/>
      <c r="AB136" s="85"/>
      <c r="AC136" s="125"/>
      <c r="AD136" s="85"/>
      <c r="AE136" s="86"/>
      <c r="AF136" s="86"/>
      <c r="AG136" s="86"/>
      <c r="AH136" s="299"/>
      <c r="AI136" s="299"/>
      <c r="AJ136" s="86"/>
      <c r="AK136" s="86"/>
      <c r="AL136" s="359"/>
      <c r="AM136" s="300"/>
      <c r="AN136" s="85"/>
      <c r="AO136" s="318" t="s">
        <v>689</v>
      </c>
      <c r="AP136" s="311">
        <f>SUM(AP131)</f>
        <v>770484000</v>
      </c>
      <c r="AQ136" s="311">
        <f>SUM(AQ131)</f>
        <v>453484000</v>
      </c>
      <c r="AR136" s="313">
        <f>SUM(AR131)</f>
        <v>0.58860000000000001</v>
      </c>
      <c r="AS136" s="311">
        <f>SUM(AS131)</f>
        <v>198800000</v>
      </c>
      <c r="AT136" s="311">
        <f>SUM(AT131)</f>
        <v>198800000</v>
      </c>
      <c r="AU136" s="313">
        <f>AVERAGE(AU131)</f>
        <v>0.25801963441161657</v>
      </c>
      <c r="AV136" s="313">
        <f>AVERAGE(AV131)</f>
        <v>0.25801963441161657</v>
      </c>
      <c r="AW136" s="4"/>
      <c r="AX136" s="4"/>
      <c r="AY136" s="4"/>
      <c r="AZ136" s="4"/>
      <c r="BA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row>
    <row r="137" spans="1:119" s="160" customFormat="1" ht="195">
      <c r="A137" s="89" t="s">
        <v>172</v>
      </c>
      <c r="B137" s="89" t="s">
        <v>116</v>
      </c>
      <c r="C137" s="90" t="s">
        <v>280</v>
      </c>
      <c r="D137" s="89" t="s">
        <v>138</v>
      </c>
      <c r="E137" s="89" t="s">
        <v>184</v>
      </c>
      <c r="F137" s="91">
        <v>2024130010144</v>
      </c>
      <c r="G137" s="89" t="s">
        <v>523</v>
      </c>
      <c r="H137" s="89" t="s">
        <v>524</v>
      </c>
      <c r="I137" s="89" t="s">
        <v>525</v>
      </c>
      <c r="J137" s="174">
        <v>0</v>
      </c>
      <c r="K137" s="210">
        <v>0.5</v>
      </c>
      <c r="L137" s="89" t="s">
        <v>570</v>
      </c>
      <c r="M137" s="207"/>
      <c r="N137" s="92" t="s">
        <v>555</v>
      </c>
      <c r="O137" s="92">
        <v>0</v>
      </c>
      <c r="P137" s="211">
        <v>1</v>
      </c>
      <c r="Q137" s="93">
        <v>0</v>
      </c>
      <c r="R137" s="344">
        <v>0</v>
      </c>
      <c r="S137" s="186">
        <v>45660</v>
      </c>
      <c r="T137" s="186">
        <v>46022</v>
      </c>
      <c r="U137" s="187">
        <f t="shared" si="3"/>
        <v>362</v>
      </c>
      <c r="V137" s="92">
        <f>1500/2</f>
        <v>750</v>
      </c>
      <c r="W137" s="92" t="s">
        <v>267</v>
      </c>
      <c r="X137" s="93" t="s">
        <v>275</v>
      </c>
      <c r="Y137" s="92" t="s">
        <v>340</v>
      </c>
      <c r="Z137" s="92" t="s">
        <v>341</v>
      </c>
      <c r="AA137" s="93" t="s">
        <v>266</v>
      </c>
      <c r="AB137" s="127" t="s">
        <v>573</v>
      </c>
      <c r="AC137" s="128">
        <v>150000000</v>
      </c>
      <c r="AD137" s="92" t="s">
        <v>46</v>
      </c>
      <c r="AE137" s="93" t="s">
        <v>41</v>
      </c>
      <c r="AF137" s="93"/>
      <c r="AG137" s="93"/>
      <c r="AH137" s="647">
        <v>385776000</v>
      </c>
      <c r="AI137" s="647"/>
      <c r="AJ137" s="93"/>
      <c r="AK137" s="93"/>
      <c r="AL137" s="360"/>
      <c r="AM137" s="650" t="s">
        <v>568</v>
      </c>
      <c r="AN137" s="92" t="s">
        <v>184</v>
      </c>
      <c r="AO137" s="109" t="s">
        <v>652</v>
      </c>
      <c r="AP137" s="639">
        <v>385776000</v>
      </c>
      <c r="AQ137" s="639">
        <v>0</v>
      </c>
      <c r="AR137" s="653">
        <v>0</v>
      </c>
      <c r="AS137" s="639">
        <v>0</v>
      </c>
      <c r="AT137" s="639">
        <v>0</v>
      </c>
      <c r="AU137" s="642">
        <v>0</v>
      </c>
      <c r="AV137" s="642">
        <v>0</v>
      </c>
      <c r="AW137" s="4"/>
      <c r="AX137" s="4"/>
      <c r="AY137" s="4"/>
      <c r="AZ137" s="4"/>
      <c r="BA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row>
    <row r="138" spans="1:119" s="160" customFormat="1" ht="195">
      <c r="A138" s="89" t="s">
        <v>172</v>
      </c>
      <c r="B138" s="89" t="s">
        <v>116</v>
      </c>
      <c r="C138" s="90" t="s">
        <v>280</v>
      </c>
      <c r="D138" s="89" t="s">
        <v>139</v>
      </c>
      <c r="E138" s="89" t="s">
        <v>184</v>
      </c>
      <c r="F138" s="91">
        <v>2024130010144</v>
      </c>
      <c r="G138" s="89" t="s">
        <v>523</v>
      </c>
      <c r="H138" s="89" t="s">
        <v>524</v>
      </c>
      <c r="I138" s="89" t="s">
        <v>525</v>
      </c>
      <c r="J138" s="174">
        <v>0</v>
      </c>
      <c r="K138" s="210">
        <v>0.5</v>
      </c>
      <c r="L138" s="89" t="s">
        <v>569</v>
      </c>
      <c r="M138" s="207"/>
      <c r="N138" s="92" t="s">
        <v>556</v>
      </c>
      <c r="O138" s="92">
        <v>0</v>
      </c>
      <c r="P138" s="211">
        <v>1</v>
      </c>
      <c r="Q138" s="93">
        <v>0</v>
      </c>
      <c r="R138" s="344">
        <v>0</v>
      </c>
      <c r="S138" s="186">
        <v>45660</v>
      </c>
      <c r="T138" s="186">
        <v>46022</v>
      </c>
      <c r="U138" s="187">
        <f t="shared" si="3"/>
        <v>362</v>
      </c>
      <c r="V138" s="92">
        <f>1500/2</f>
        <v>750</v>
      </c>
      <c r="W138" s="92" t="s">
        <v>267</v>
      </c>
      <c r="X138" s="93" t="s">
        <v>275</v>
      </c>
      <c r="Y138" s="92" t="s">
        <v>340</v>
      </c>
      <c r="Z138" s="92" t="s">
        <v>341</v>
      </c>
      <c r="AA138" s="93" t="s">
        <v>266</v>
      </c>
      <c r="AB138" s="127" t="s">
        <v>573</v>
      </c>
      <c r="AC138" s="128">
        <v>150000000</v>
      </c>
      <c r="AD138" s="92" t="s">
        <v>46</v>
      </c>
      <c r="AE138" s="93" t="s">
        <v>41</v>
      </c>
      <c r="AF138" s="93"/>
      <c r="AG138" s="93"/>
      <c r="AH138" s="648"/>
      <c r="AI138" s="648"/>
      <c r="AJ138" s="93"/>
      <c r="AK138" s="93"/>
      <c r="AL138" s="360"/>
      <c r="AM138" s="651"/>
      <c r="AN138" s="92" t="s">
        <v>184</v>
      </c>
      <c r="AO138" s="109" t="s">
        <v>652</v>
      </c>
      <c r="AP138" s="640"/>
      <c r="AQ138" s="640"/>
      <c r="AR138" s="654"/>
      <c r="AS138" s="640"/>
      <c r="AT138" s="640"/>
      <c r="AU138" s="640"/>
      <c r="AV138" s="640"/>
      <c r="AW138" s="4"/>
      <c r="AX138" s="4"/>
      <c r="AY138" s="4"/>
      <c r="AZ138" s="4"/>
      <c r="BA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row>
    <row r="139" spans="1:119" s="160" customFormat="1" ht="195">
      <c r="A139" s="89" t="s">
        <v>172</v>
      </c>
      <c r="B139" s="89" t="s">
        <v>116</v>
      </c>
      <c r="C139" s="90" t="s">
        <v>280</v>
      </c>
      <c r="D139" s="89" t="s">
        <v>139</v>
      </c>
      <c r="E139" s="89" t="s">
        <v>184</v>
      </c>
      <c r="F139" s="91">
        <v>2024130010144</v>
      </c>
      <c r="G139" s="89" t="s">
        <v>523</v>
      </c>
      <c r="H139" s="89" t="s">
        <v>524</v>
      </c>
      <c r="I139" s="89" t="s">
        <v>525</v>
      </c>
      <c r="J139" s="174">
        <v>0</v>
      </c>
      <c r="K139" s="210">
        <v>0.5</v>
      </c>
      <c r="L139" s="89" t="s">
        <v>571</v>
      </c>
      <c r="M139" s="207"/>
      <c r="N139" s="92" t="s">
        <v>572</v>
      </c>
      <c r="O139" s="92">
        <v>0</v>
      </c>
      <c r="P139" s="211">
        <v>2</v>
      </c>
      <c r="Q139" s="93">
        <v>0</v>
      </c>
      <c r="R139" s="344">
        <v>0</v>
      </c>
      <c r="S139" s="186">
        <v>45660</v>
      </c>
      <c r="T139" s="186">
        <v>46022</v>
      </c>
      <c r="U139" s="187">
        <f>+T139-S139</f>
        <v>362</v>
      </c>
      <c r="V139" s="92">
        <v>1500</v>
      </c>
      <c r="W139" s="92" t="s">
        <v>267</v>
      </c>
      <c r="X139" s="93" t="s">
        <v>275</v>
      </c>
      <c r="Y139" s="92" t="s">
        <v>340</v>
      </c>
      <c r="Z139" s="92" t="s">
        <v>341</v>
      </c>
      <c r="AA139" s="93" t="s">
        <v>266</v>
      </c>
      <c r="AB139" s="127" t="s">
        <v>573</v>
      </c>
      <c r="AC139" s="128">
        <v>85776000</v>
      </c>
      <c r="AD139" s="92" t="s">
        <v>46</v>
      </c>
      <c r="AE139" s="93" t="s">
        <v>41</v>
      </c>
      <c r="AF139" s="93"/>
      <c r="AG139" s="93"/>
      <c r="AH139" s="649"/>
      <c r="AI139" s="649"/>
      <c r="AJ139" s="93"/>
      <c r="AK139" s="93"/>
      <c r="AL139" s="360"/>
      <c r="AM139" s="652"/>
      <c r="AN139" s="92" t="s">
        <v>184</v>
      </c>
      <c r="AO139" s="109" t="s">
        <v>652</v>
      </c>
      <c r="AP139" s="641"/>
      <c r="AQ139" s="641"/>
      <c r="AR139" s="655"/>
      <c r="AS139" s="641"/>
      <c r="AT139" s="641"/>
      <c r="AU139" s="641"/>
      <c r="AV139" s="641"/>
      <c r="AW139" s="4"/>
      <c r="AX139" s="4"/>
      <c r="AY139" s="4"/>
      <c r="AZ139" s="4"/>
      <c r="BA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row>
    <row r="140" spans="1:119" s="160" customFormat="1" ht="60.75" customHeight="1">
      <c r="A140" s="89"/>
      <c r="B140" s="89"/>
      <c r="C140" s="90"/>
      <c r="D140" s="89"/>
      <c r="E140" s="513" t="s">
        <v>698</v>
      </c>
      <c r="F140" s="514"/>
      <c r="G140" s="514"/>
      <c r="H140" s="514"/>
      <c r="I140" s="514"/>
      <c r="J140" s="514"/>
      <c r="K140" s="514"/>
      <c r="L140" s="514"/>
      <c r="M140" s="514"/>
      <c r="N140" s="514"/>
      <c r="O140" s="514"/>
      <c r="P140" s="514"/>
      <c r="Q140" s="515"/>
      <c r="R140" s="344">
        <f>AVERAGE(R137:R139)</f>
        <v>0</v>
      </c>
      <c r="S140" s="186"/>
      <c r="T140" s="186"/>
      <c r="U140" s="187"/>
      <c r="V140" s="92"/>
      <c r="W140" s="92"/>
      <c r="X140" s="93"/>
      <c r="Y140" s="92"/>
      <c r="Z140" s="92"/>
      <c r="AA140" s="93"/>
      <c r="AB140" s="127"/>
      <c r="AC140" s="128"/>
      <c r="AD140" s="92"/>
      <c r="AE140" s="93"/>
      <c r="AF140" s="93"/>
      <c r="AG140" s="93"/>
      <c r="AH140" s="294"/>
      <c r="AI140" s="295"/>
      <c r="AJ140" s="93"/>
      <c r="AK140" s="93"/>
      <c r="AL140" s="360"/>
      <c r="AM140" s="296"/>
      <c r="AN140" s="92"/>
      <c r="AO140" s="318" t="s">
        <v>689</v>
      </c>
      <c r="AP140" s="306">
        <f>SUM(AP137)</f>
        <v>385776000</v>
      </c>
      <c r="AQ140" s="306">
        <f>SUM(AQ137)</f>
        <v>0</v>
      </c>
      <c r="AR140" s="345">
        <f>SUM(AR137)</f>
        <v>0</v>
      </c>
      <c r="AS140" s="306">
        <f>SUM(AS137)</f>
        <v>0</v>
      </c>
      <c r="AT140" s="306">
        <f>SUM(AT137)</f>
        <v>0</v>
      </c>
      <c r="AU140" s="346">
        <v>0</v>
      </c>
      <c r="AV140" s="346">
        <v>0</v>
      </c>
      <c r="AW140" s="4"/>
      <c r="AX140" s="4"/>
      <c r="AY140" s="4"/>
      <c r="AZ140" s="4"/>
      <c r="BA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row>
    <row r="141" spans="1:119" s="162" customFormat="1" ht="165">
      <c r="A141" s="94" t="s">
        <v>172</v>
      </c>
      <c r="B141" s="94" t="s">
        <v>141</v>
      </c>
      <c r="C141" s="95" t="s">
        <v>281</v>
      </c>
      <c r="D141" s="94" t="s">
        <v>140</v>
      </c>
      <c r="E141" s="96" t="s">
        <v>185</v>
      </c>
      <c r="F141" s="98">
        <v>2024130010149</v>
      </c>
      <c r="G141" s="96" t="s">
        <v>520</v>
      </c>
      <c r="H141" s="96" t="s">
        <v>521</v>
      </c>
      <c r="I141" s="96" t="s">
        <v>522</v>
      </c>
      <c r="J141" s="175">
        <v>0</v>
      </c>
      <c r="K141" s="210">
        <v>1</v>
      </c>
      <c r="L141" s="94" t="s">
        <v>574</v>
      </c>
      <c r="M141" s="97"/>
      <c r="N141" s="190" t="s">
        <v>557</v>
      </c>
      <c r="O141" s="190">
        <v>0</v>
      </c>
      <c r="P141" s="211">
        <v>1</v>
      </c>
      <c r="Q141" s="97">
        <v>0</v>
      </c>
      <c r="R141" s="344">
        <v>0</v>
      </c>
      <c r="S141" s="186">
        <v>45660</v>
      </c>
      <c r="T141" s="186">
        <v>46022</v>
      </c>
      <c r="U141" s="187">
        <f>+T141-S141</f>
        <v>362</v>
      </c>
      <c r="V141" s="97">
        <v>600</v>
      </c>
      <c r="W141" s="97" t="s">
        <v>268</v>
      </c>
      <c r="X141" s="97" t="s">
        <v>275</v>
      </c>
      <c r="Y141" s="190" t="s">
        <v>340</v>
      </c>
      <c r="Z141" s="190" t="s">
        <v>341</v>
      </c>
      <c r="AA141" s="97" t="s">
        <v>266</v>
      </c>
      <c r="AB141" s="122" t="s">
        <v>576</v>
      </c>
      <c r="AC141" s="126">
        <v>140000000</v>
      </c>
      <c r="AD141" s="190" t="s">
        <v>45</v>
      </c>
      <c r="AE141" s="97" t="s">
        <v>41</v>
      </c>
      <c r="AF141" s="97"/>
      <c r="AG141" s="97"/>
      <c r="AH141" s="643">
        <v>160740000</v>
      </c>
      <c r="AI141" s="165"/>
      <c r="AJ141" s="97"/>
      <c r="AK141" s="97"/>
      <c r="AL141" s="97"/>
      <c r="AM141" s="97" t="s">
        <v>568</v>
      </c>
      <c r="AN141" s="190" t="s">
        <v>185</v>
      </c>
      <c r="AO141" s="161" t="s">
        <v>653</v>
      </c>
      <c r="AP141" s="630">
        <v>160740000</v>
      </c>
      <c r="AQ141" s="630">
        <v>0</v>
      </c>
      <c r="AR141" s="645">
        <v>0</v>
      </c>
      <c r="AS141" s="630">
        <v>0</v>
      </c>
      <c r="AT141" s="630">
        <v>0</v>
      </c>
      <c r="AU141" s="632">
        <v>0</v>
      </c>
      <c r="AV141" s="634">
        <v>0</v>
      </c>
      <c r="AW141" s="4"/>
      <c r="AX141" s="4"/>
      <c r="AY141" s="4"/>
      <c r="AZ141" s="4"/>
      <c r="BA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row>
    <row r="142" spans="1:119" s="162" customFormat="1" ht="165">
      <c r="A142" s="94" t="s">
        <v>172</v>
      </c>
      <c r="B142" s="94" t="s">
        <v>141</v>
      </c>
      <c r="C142" s="95" t="s">
        <v>281</v>
      </c>
      <c r="D142" s="94" t="s">
        <v>140</v>
      </c>
      <c r="E142" s="96" t="s">
        <v>185</v>
      </c>
      <c r="F142" s="98">
        <v>2024130010149</v>
      </c>
      <c r="G142" s="96" t="s">
        <v>520</v>
      </c>
      <c r="H142" s="96" t="s">
        <v>521</v>
      </c>
      <c r="I142" s="96" t="s">
        <v>522</v>
      </c>
      <c r="J142" s="175">
        <v>0</v>
      </c>
      <c r="K142" s="210">
        <v>1</v>
      </c>
      <c r="L142" s="94" t="s">
        <v>575</v>
      </c>
      <c r="M142" s="97"/>
      <c r="N142" s="190" t="s">
        <v>557</v>
      </c>
      <c r="O142" s="190">
        <v>0</v>
      </c>
      <c r="P142" s="211">
        <v>1</v>
      </c>
      <c r="Q142" s="97">
        <v>0</v>
      </c>
      <c r="R142" s="344">
        <v>0</v>
      </c>
      <c r="S142" s="186">
        <v>45660</v>
      </c>
      <c r="T142" s="186">
        <v>46022</v>
      </c>
      <c r="U142" s="187">
        <f>+T142-S142</f>
        <v>362</v>
      </c>
      <c r="V142" s="97">
        <v>600</v>
      </c>
      <c r="W142" s="97" t="s">
        <v>268</v>
      </c>
      <c r="X142" s="97" t="s">
        <v>275</v>
      </c>
      <c r="Y142" s="190" t="s">
        <v>340</v>
      </c>
      <c r="Z142" s="190" t="s">
        <v>341</v>
      </c>
      <c r="AA142" s="97" t="s">
        <v>266</v>
      </c>
      <c r="AB142" s="122" t="s">
        <v>576</v>
      </c>
      <c r="AC142" s="126">
        <v>20740000</v>
      </c>
      <c r="AD142" s="190" t="s">
        <v>45</v>
      </c>
      <c r="AE142" s="97" t="s">
        <v>41</v>
      </c>
      <c r="AF142" s="97"/>
      <c r="AG142" s="97"/>
      <c r="AH142" s="644"/>
      <c r="AI142" s="165"/>
      <c r="AJ142" s="97"/>
      <c r="AK142" s="97"/>
      <c r="AL142" s="97"/>
      <c r="AM142" s="97" t="s">
        <v>568</v>
      </c>
      <c r="AN142" s="190" t="s">
        <v>185</v>
      </c>
      <c r="AO142" s="161" t="s">
        <v>653</v>
      </c>
      <c r="AP142" s="631"/>
      <c r="AQ142" s="631"/>
      <c r="AR142" s="646"/>
      <c r="AS142" s="631"/>
      <c r="AT142" s="631"/>
      <c r="AU142" s="633"/>
      <c r="AV142" s="631"/>
      <c r="AW142" s="4"/>
      <c r="AX142" s="4"/>
      <c r="AY142" s="4"/>
      <c r="AZ142" s="4"/>
      <c r="BA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row>
    <row r="143" spans="1:119" ht="69.900000000000006" customHeight="1">
      <c r="E143" s="635" t="s">
        <v>699</v>
      </c>
      <c r="F143" s="635"/>
      <c r="G143" s="635"/>
      <c r="H143" s="635"/>
      <c r="I143" s="635"/>
      <c r="J143" s="635"/>
      <c r="K143" s="635"/>
      <c r="L143" s="635"/>
      <c r="M143" s="635"/>
      <c r="N143" s="635"/>
      <c r="O143" s="635"/>
      <c r="P143" s="635"/>
      <c r="Q143" s="635"/>
      <c r="R143" s="347">
        <f>SUM(R141:R142)</f>
        <v>0</v>
      </c>
      <c r="AO143" s="318" t="s">
        <v>689</v>
      </c>
      <c r="AP143" s="348">
        <f>SUM(AP141)</f>
        <v>160740000</v>
      </c>
      <c r="AQ143" s="348">
        <f>SUM(AQ141)</f>
        <v>0</v>
      </c>
      <c r="AR143" s="348">
        <f>SUM(AR141)</f>
        <v>0</v>
      </c>
      <c r="AS143" s="348">
        <f>SUM(AS141)</f>
        <v>0</v>
      </c>
      <c r="AT143" s="348">
        <f>SUM(AT141)</f>
        <v>0</v>
      </c>
      <c r="AU143" s="349">
        <v>0</v>
      </c>
      <c r="AV143" s="349">
        <v>0</v>
      </c>
    </row>
    <row r="144" spans="1:119" ht="69.900000000000006" customHeight="1">
      <c r="E144" s="636" t="s">
        <v>700</v>
      </c>
      <c r="F144" s="637"/>
      <c r="G144" s="637"/>
      <c r="H144" s="637"/>
      <c r="I144" s="637"/>
      <c r="J144" s="637"/>
      <c r="K144" s="637"/>
      <c r="L144" s="637"/>
      <c r="M144" s="637"/>
      <c r="N144" s="637"/>
      <c r="O144" s="637"/>
      <c r="P144" s="637"/>
      <c r="Q144" s="638"/>
      <c r="R144" s="350">
        <f>AVERAGE(R39,R47,R60,R73,R85,R98,R115,R130,R136,R140,R143)</f>
        <v>0.14184416710353981</v>
      </c>
      <c r="AC144" s="212"/>
      <c r="AH144" s="212"/>
      <c r="AO144" s="206" t="s">
        <v>701</v>
      </c>
      <c r="AP144" s="348">
        <f>SUM(AP39,AP47,AP60,AP73,AP85,AP98,AP115,AP130,AP136,AP140,AP143)</f>
        <v>57682610982.709999</v>
      </c>
      <c r="AQ144" s="348">
        <f>SUM(AQ39,AQ47,AQ60,AQ73,AQ85,AQ98,AQ115,AQ130,AQ136,AQ140,AQ143)</f>
        <v>18623172864.240002</v>
      </c>
      <c r="AR144" s="351">
        <f>+AQ144/AP144</f>
        <v>0.32285592740977315</v>
      </c>
      <c r="AS144" s="348">
        <f>SUM(AS39,AS47,AS60,AS73,AS85,AS98,AS115,AS130,AS136,AS140,AS143)</f>
        <v>6387170665</v>
      </c>
      <c r="AT144" s="348">
        <f>SUM(AT39,AT47,AT60,AT73,AT85,AT98,AT115,AT130,AT136,AT140,AT143)</f>
        <v>6387170665</v>
      </c>
      <c r="AU144" s="352">
        <f>+AS144/AP144</f>
        <v>0.11072956920959272</v>
      </c>
      <c r="AV144" s="353">
        <f>+AT144/AP144</f>
        <v>0.11072956920959272</v>
      </c>
    </row>
  </sheetData>
  <mergeCells count="133">
    <mergeCell ref="AT141:AT142"/>
    <mergeCell ref="AU141:AU142"/>
    <mergeCell ref="AV141:AV142"/>
    <mergeCell ref="E143:Q143"/>
    <mergeCell ref="E144:Q144"/>
    <mergeCell ref="AS137:AS139"/>
    <mergeCell ref="AT137:AT139"/>
    <mergeCell ref="AU137:AU139"/>
    <mergeCell ref="AV137:AV139"/>
    <mergeCell ref="E140:Q140"/>
    <mergeCell ref="AH141:AH142"/>
    <mergeCell ref="AP141:AP142"/>
    <mergeCell ref="AQ141:AQ142"/>
    <mergeCell ref="AR141:AR142"/>
    <mergeCell ref="AS141:AS142"/>
    <mergeCell ref="AH137:AH139"/>
    <mergeCell ref="AI137:AI139"/>
    <mergeCell ref="AM137:AM139"/>
    <mergeCell ref="AP137:AP139"/>
    <mergeCell ref="AQ137:AQ139"/>
    <mergeCell ref="AR137:AR139"/>
    <mergeCell ref="AR131:AR135"/>
    <mergeCell ref="AS131:AS135"/>
    <mergeCell ref="AT131:AT135"/>
    <mergeCell ref="AU131:AU135"/>
    <mergeCell ref="AV131:AV135"/>
    <mergeCell ref="E136:Q136"/>
    <mergeCell ref="AS116:AS129"/>
    <mergeCell ref="AT116:AT129"/>
    <mergeCell ref="AU116:AU129"/>
    <mergeCell ref="AV116:AV129"/>
    <mergeCell ref="E130:Q130"/>
    <mergeCell ref="AH131:AH135"/>
    <mergeCell ref="AI131:AI135"/>
    <mergeCell ref="AM131:AM135"/>
    <mergeCell ref="AP131:AP135"/>
    <mergeCell ref="AQ131:AQ135"/>
    <mergeCell ref="AH116:AH129"/>
    <mergeCell ref="AI116:AI129"/>
    <mergeCell ref="AM116:AM129"/>
    <mergeCell ref="AP116:AP129"/>
    <mergeCell ref="AQ116:AQ129"/>
    <mergeCell ref="AR116:AR129"/>
    <mergeCell ref="AR99:AR114"/>
    <mergeCell ref="AS99:AS114"/>
    <mergeCell ref="AT99:AT114"/>
    <mergeCell ref="AU99:AU114"/>
    <mergeCell ref="AV99:AV114"/>
    <mergeCell ref="E115:Q115"/>
    <mergeCell ref="AS86:AS97"/>
    <mergeCell ref="AT86:AT97"/>
    <mergeCell ref="AU86:AU97"/>
    <mergeCell ref="AV86:AV97"/>
    <mergeCell ref="E98:Q98"/>
    <mergeCell ref="AH99:AH114"/>
    <mergeCell ref="AI99:AI114"/>
    <mergeCell ref="AM99:AM114"/>
    <mergeCell ref="AP99:AP114"/>
    <mergeCell ref="AQ99:AQ114"/>
    <mergeCell ref="AH86:AH97"/>
    <mergeCell ref="AI86:AI97"/>
    <mergeCell ref="AM86:AM97"/>
    <mergeCell ref="AP86:AP97"/>
    <mergeCell ref="AQ86:AQ97"/>
    <mergeCell ref="AR86:AR97"/>
    <mergeCell ref="AR74:AR84"/>
    <mergeCell ref="AS74:AS84"/>
    <mergeCell ref="AT74:AT84"/>
    <mergeCell ref="AU74:AU84"/>
    <mergeCell ref="AV74:AV84"/>
    <mergeCell ref="E85:Q85"/>
    <mergeCell ref="AS61:AS72"/>
    <mergeCell ref="AT61:AT72"/>
    <mergeCell ref="AU61:AU72"/>
    <mergeCell ref="AV61:AV72"/>
    <mergeCell ref="E73:Q73"/>
    <mergeCell ref="AH74:AH84"/>
    <mergeCell ref="AI74:AI84"/>
    <mergeCell ref="AM74:AM84"/>
    <mergeCell ref="AP74:AP84"/>
    <mergeCell ref="AQ74:AQ84"/>
    <mergeCell ref="AU48:AU59"/>
    <mergeCell ref="AV48:AV59"/>
    <mergeCell ref="E60:Q60"/>
    <mergeCell ref="AH61:AH72"/>
    <mergeCell ref="AI61:AI72"/>
    <mergeCell ref="AM61:AM72"/>
    <mergeCell ref="AP61:AP72"/>
    <mergeCell ref="AQ61:AQ72"/>
    <mergeCell ref="AR61:AR72"/>
    <mergeCell ref="E47:Q47"/>
    <mergeCell ref="AH48:AH59"/>
    <mergeCell ref="AI48:AI59"/>
    <mergeCell ref="AM48:AM59"/>
    <mergeCell ref="AP48:AP59"/>
    <mergeCell ref="AQ48:AQ59"/>
    <mergeCell ref="AR48:AR59"/>
    <mergeCell ref="AS48:AS59"/>
    <mergeCell ref="AT48:AT59"/>
    <mergeCell ref="AV9:AV38"/>
    <mergeCell ref="E39:Q39"/>
    <mergeCell ref="AH40:AH46"/>
    <mergeCell ref="AI40:AI46"/>
    <mergeCell ref="AM40:AM46"/>
    <mergeCell ref="AP40:AP46"/>
    <mergeCell ref="AQ40:AQ46"/>
    <mergeCell ref="AR40:AR46"/>
    <mergeCell ref="AS40:AS46"/>
    <mergeCell ref="AT40:AT46"/>
    <mergeCell ref="AP9:AP38"/>
    <mergeCell ref="AQ9:AQ38"/>
    <mergeCell ref="AR9:AR38"/>
    <mergeCell ref="AS9:AS38"/>
    <mergeCell ref="AT9:AT38"/>
    <mergeCell ref="AU9:AU38"/>
    <mergeCell ref="AU40:AU46"/>
    <mergeCell ref="AV40:AV46"/>
    <mergeCell ref="A5:AO5"/>
    <mergeCell ref="A6:Z7"/>
    <mergeCell ref="AA6:AF7"/>
    <mergeCell ref="AH6:AO7"/>
    <mergeCell ref="AH9:AH38"/>
    <mergeCell ref="AI9:AI38"/>
    <mergeCell ref="AM9:AM38"/>
    <mergeCell ref="A1:B4"/>
    <mergeCell ref="C1:AM1"/>
    <mergeCell ref="AN1:AO1"/>
    <mergeCell ref="C2:AM2"/>
    <mergeCell ref="AN2:AO2"/>
    <mergeCell ref="C3:AM3"/>
    <mergeCell ref="AN3:AO3"/>
    <mergeCell ref="C4:AM4"/>
    <mergeCell ref="AN4:AO4"/>
  </mergeCells>
  <dataValidations count="2">
    <dataValidation type="list" allowBlank="1" showInputMessage="1" showErrorMessage="1" sqref="M12:M26 M9:M10 M131:M135 M137:M139 M141:M142" xr:uid="{F72D3EC1-188E-4163-A35F-DB1E48FE0E9D}">
      <formula1>$AZ$9:$AZ$14</formula1>
    </dataValidation>
    <dataValidation type="list" allowBlank="1" showInputMessage="1" showErrorMessage="1" sqref="L74:M74 M99:M109 M27:M38 M116:M129 L77:M77 L83:L84 M75:M76 M61:M72 M40:M46 M48:M59 M78:M84 M86:M97 M111:M114 M145:M230" xr:uid="{9014C4F4-2A54-4979-9170-B70FE61B18E6}">
      <formula1>$AY$9:$AY$56</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984375" defaultRowHeight="13.8"/>
  <cols>
    <col min="1" max="1" width="20.69921875" customWidth="1"/>
    <col min="2" max="2" width="25" customWidth="1"/>
    <col min="3" max="3" width="19.69921875" customWidth="1"/>
    <col min="4" max="4" width="20.296875" customWidth="1"/>
    <col min="5" max="6" width="22.8984375" customWidth="1"/>
    <col min="7" max="7" width="25.296875" customWidth="1"/>
  </cols>
  <sheetData>
    <row r="2" spans="1:7">
      <c r="A2" s="663" t="s">
        <v>28</v>
      </c>
      <c r="B2" s="664"/>
      <c r="C2" s="664"/>
      <c r="D2" s="664"/>
      <c r="E2" s="664"/>
      <c r="F2" s="664"/>
      <c r="G2" s="665"/>
    </row>
    <row r="3" spans="1:7" s="7" customFormat="1">
      <c r="A3" s="11" t="s">
        <v>29</v>
      </c>
      <c r="B3" s="660" t="s">
        <v>30</v>
      </c>
      <c r="C3" s="660"/>
      <c r="D3" s="660"/>
      <c r="E3" s="660"/>
      <c r="F3" s="660"/>
      <c r="G3" s="13" t="s">
        <v>31</v>
      </c>
    </row>
    <row r="4" spans="1:7" ht="12.75" customHeight="1">
      <c r="A4" s="14">
        <v>45489</v>
      </c>
      <c r="B4" s="661" t="s">
        <v>104</v>
      </c>
      <c r="C4" s="661"/>
      <c r="D4" s="661"/>
      <c r="E4" s="661"/>
      <c r="F4" s="661"/>
      <c r="G4" s="15" t="s">
        <v>105</v>
      </c>
    </row>
    <row r="5" spans="1:7" ht="12.75" customHeight="1">
      <c r="A5" s="16"/>
      <c r="B5" s="661"/>
      <c r="C5" s="661"/>
      <c r="D5" s="661"/>
      <c r="E5" s="661"/>
      <c r="F5" s="661"/>
      <c r="G5" s="15"/>
    </row>
    <row r="6" spans="1:7">
      <c r="A6" s="16"/>
      <c r="B6" s="662"/>
      <c r="C6" s="662"/>
      <c r="D6" s="662"/>
      <c r="E6" s="662"/>
      <c r="F6" s="662"/>
      <c r="G6" s="18"/>
    </row>
    <row r="7" spans="1:7">
      <c r="A7" s="16"/>
      <c r="B7" s="662"/>
      <c r="C7" s="662"/>
      <c r="D7" s="662"/>
      <c r="E7" s="662"/>
      <c r="F7" s="662"/>
      <c r="G7" s="18"/>
    </row>
    <row r="8" spans="1:7">
      <c r="A8" s="16"/>
      <c r="B8" s="17"/>
      <c r="C8" s="17"/>
      <c r="D8" s="17"/>
      <c r="E8" s="17"/>
      <c r="F8" s="17"/>
      <c r="G8" s="18"/>
    </row>
    <row r="9" spans="1:7">
      <c r="A9" s="656" t="s">
        <v>106</v>
      </c>
      <c r="B9" s="657"/>
      <c r="C9" s="657"/>
      <c r="D9" s="657"/>
      <c r="E9" s="657"/>
      <c r="F9" s="657"/>
      <c r="G9" s="658"/>
    </row>
    <row r="10" spans="1:7" s="7" customFormat="1">
      <c r="A10" s="12"/>
      <c r="B10" s="660" t="s">
        <v>32</v>
      </c>
      <c r="C10" s="660"/>
      <c r="D10" s="660" t="s">
        <v>33</v>
      </c>
      <c r="E10" s="660"/>
      <c r="F10" s="12" t="s">
        <v>29</v>
      </c>
      <c r="G10" s="12" t="s">
        <v>34</v>
      </c>
    </row>
    <row r="11" spans="1:7">
      <c r="A11" s="19" t="s">
        <v>35</v>
      </c>
      <c r="B11" s="661" t="s">
        <v>36</v>
      </c>
      <c r="C11" s="661"/>
      <c r="D11" s="659" t="s">
        <v>37</v>
      </c>
      <c r="E11" s="659"/>
      <c r="F11" s="16" t="s">
        <v>49</v>
      </c>
      <c r="G11" s="18"/>
    </row>
    <row r="12" spans="1:7">
      <c r="A12" s="19" t="s">
        <v>38</v>
      </c>
      <c r="B12" s="659" t="s">
        <v>39</v>
      </c>
      <c r="C12" s="659"/>
      <c r="D12" s="659" t="s">
        <v>50</v>
      </c>
      <c r="E12" s="659"/>
      <c r="F12" s="16" t="s">
        <v>49</v>
      </c>
      <c r="G12" s="18"/>
    </row>
    <row r="13" spans="1:7">
      <c r="A13" s="19" t="s">
        <v>40</v>
      </c>
      <c r="B13" s="659" t="s">
        <v>39</v>
      </c>
      <c r="C13" s="659"/>
      <c r="D13" s="659" t="s">
        <v>50</v>
      </c>
      <c r="E13" s="659"/>
      <c r="F13" s="16" t="s">
        <v>49</v>
      </c>
      <c r="G13" s="18"/>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 ESTRATEGICO SEPTIEMBRE  2025</vt:lpstr>
      <vt:lpstr>Hoja1</vt:lpstr>
      <vt:lpstr>2. GESTIÓN-MIPG</vt:lpstr>
      <vt:lpstr>3.INVERSIÓN</vt:lpstr>
      <vt:lpstr>CONTROL DE CAMBIOS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LENOVO</cp:lastModifiedBy>
  <dcterms:created xsi:type="dcterms:W3CDTF">2024-07-04T17:50:33Z</dcterms:created>
  <dcterms:modified xsi:type="dcterms:W3CDTF">2025-11-07T03:22:12Z</dcterms:modified>
</cp:coreProperties>
</file>