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14. EMPALME\PLAN DE ACCION AÑO 2025\INICIAL 2025\PLAN DE ACCION  1ER TRIMESTRE 2025\PAC DICIEMBRE 2025\"/>
    </mc:Choice>
  </mc:AlternateContent>
  <xr:revisionPtr revIDLastSave="0" documentId="8_{7BD434EB-B6AF-42C2-9586-43E718ED5518}" xr6:coauthVersionLast="47" xr6:coauthVersionMax="47" xr10:uidLastSave="{00000000-0000-0000-0000-000000000000}"/>
  <bookViews>
    <workbookView xWindow="-108" yWindow="-108" windowWidth="19416" windowHeight="10296" tabRatio="757" activeTab="1" xr2:uid="{00000000-000D-0000-FFFF-FFFF00000000}"/>
  </bookViews>
  <sheets>
    <sheet name="INSTRUCTIVO" sheetId="2" r:id="rId1"/>
    <sheet name="1. ESTRATEGICO DIC  2025" sheetId="12" r:id="rId2"/>
    <sheet name="Hoja1" sheetId="17" r:id="rId3"/>
    <sheet name="2.GESTIÓN-MIPG" sheetId="13" r:id="rId4"/>
    <sheet name="3.INVERSION" sheetId="14" r:id="rId5"/>
    <sheet name="CONTROL DE CAMBIOS" sheetId="15" r:id="rId6"/>
    <sheet name="ANEXO 1" sheetId="16" r:id="rId7"/>
    <sheet name="2. GESTIÓN-MIPG" sheetId="5" state="hidden" r:id="rId8"/>
    <sheet name="3.INVERSIÓN" sheetId="11" state="hidden" r:id="rId9"/>
    <sheet name="CONTROL DE CAMBIOS " sheetId="3" state="hidden" r:id="rId10"/>
  </sheets>
  <externalReferences>
    <externalReference r:id="rId11"/>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9" i="14" l="1"/>
  <c r="BF39" i="14"/>
  <c r="BG47" i="14"/>
  <c r="BF47" i="14"/>
  <c r="BH87" i="14"/>
  <c r="BF87" i="14"/>
  <c r="BH132" i="14"/>
  <c r="BF132" i="14"/>
  <c r="AQ145" i="14"/>
  <c r="AQ142" i="14"/>
  <c r="V146" i="14" l="1"/>
  <c r="V78" i="14"/>
  <c r="V77" i="14"/>
  <c r="AE35" i="12"/>
  <c r="AE34" i="12"/>
  <c r="AE33" i="12"/>
  <c r="AE32" i="12"/>
  <c r="Y12" i="12" l="1"/>
  <c r="BH145" i="14"/>
  <c r="BF145" i="14"/>
  <c r="BG145" i="14" s="1"/>
  <c r="BH142" i="14"/>
  <c r="BF142" i="14"/>
  <c r="BH138" i="14"/>
  <c r="BF138" i="14"/>
  <c r="AQ138" i="14"/>
  <c r="BG132" i="14"/>
  <c r="AQ132" i="14"/>
  <c r="BH117" i="14"/>
  <c r="BI117" i="14" s="1"/>
  <c r="BF117" i="14"/>
  <c r="BG117" i="14" s="1"/>
  <c r="AQ117" i="14"/>
  <c r="BI145" i="14" l="1"/>
  <c r="BI132" i="14"/>
  <c r="BG138" i="14"/>
  <c r="BI138" i="14"/>
  <c r="BH100" i="14"/>
  <c r="BF100" i="14"/>
  <c r="AQ100" i="14"/>
  <c r="BG87" i="14"/>
  <c r="BH74" i="14"/>
  <c r="BI74" i="14" s="1"/>
  <c r="BF74" i="14"/>
  <c r="BG74" i="14" s="1"/>
  <c r="AQ87" i="14"/>
  <c r="AQ74" i="14"/>
  <c r="BH60" i="14"/>
  <c r="BF60" i="14"/>
  <c r="AQ60" i="14"/>
  <c r="BH47" i="14"/>
  <c r="BI47" i="14" s="1"/>
  <c r="AQ47" i="14"/>
  <c r="BG100" i="14" l="1"/>
  <c r="BI100" i="14"/>
  <c r="BI87" i="14"/>
  <c r="BG60" i="14"/>
  <c r="R116" i="14"/>
  <c r="R115" i="14"/>
  <c r="R114" i="14"/>
  <c r="R113" i="14"/>
  <c r="R112" i="14"/>
  <c r="R111" i="14"/>
  <c r="R110" i="14"/>
  <c r="R109" i="14"/>
  <c r="R108" i="14"/>
  <c r="R107" i="14"/>
  <c r="R106" i="14"/>
  <c r="R105" i="14"/>
  <c r="R104" i="14"/>
  <c r="R101" i="14"/>
  <c r="R91" i="14"/>
  <c r="Q98" i="14"/>
  <c r="R98" i="14" s="1"/>
  <c r="Q97" i="14"/>
  <c r="R97" i="14" s="1"/>
  <c r="Q96" i="14"/>
  <c r="R96" i="14" s="1"/>
  <c r="Q95" i="14"/>
  <c r="R95" i="14" s="1"/>
  <c r="Q94" i="14"/>
  <c r="R94" i="14" s="1"/>
  <c r="Q93" i="14"/>
  <c r="R93" i="14" s="1"/>
  <c r="Q92" i="14"/>
  <c r="R92" i="14" s="1"/>
  <c r="Q91" i="14"/>
  <c r="Q90" i="14"/>
  <c r="R90" i="14" s="1"/>
  <c r="Q89" i="14"/>
  <c r="R89" i="14" s="1"/>
  <c r="Q88" i="14"/>
  <c r="R88" i="14" s="1"/>
  <c r="R68" i="14" l="1"/>
  <c r="R66" i="14"/>
  <c r="R65" i="14"/>
  <c r="R64" i="14"/>
  <c r="R63" i="14"/>
  <c r="R61" i="14"/>
  <c r="Q43" i="14"/>
  <c r="Q42" i="14"/>
  <c r="BH39" i="14"/>
  <c r="BH146" i="14" s="1"/>
  <c r="BF146" i="14"/>
  <c r="BG39" i="14" l="1"/>
  <c r="BI39" i="14"/>
  <c r="AD23" i="12"/>
  <c r="G49" i="17" l="1"/>
  <c r="G48" i="17"/>
  <c r="G47" i="17"/>
  <c r="G46" i="17"/>
  <c r="G45" i="17"/>
  <c r="BE143" i="14" l="1"/>
  <c r="BE145" i="14" s="1"/>
  <c r="BC143" i="14"/>
  <c r="BC145" i="14" s="1"/>
  <c r="BE139" i="14"/>
  <c r="BE142" i="14" s="1"/>
  <c r="BC139" i="14"/>
  <c r="BC142" i="14" s="1"/>
  <c r="BE133" i="14"/>
  <c r="BE138" i="14" s="1"/>
  <c r="BC133" i="14"/>
  <c r="BC138" i="14" s="1"/>
  <c r="BE118" i="14"/>
  <c r="BC118" i="14"/>
  <c r="BE101" i="14"/>
  <c r="BE117" i="14" s="1"/>
  <c r="E22" i="17" s="1"/>
  <c r="BC101" i="14"/>
  <c r="BC117" i="14" s="1"/>
  <c r="D22" i="17" s="1"/>
  <c r="BE88" i="14"/>
  <c r="BE100" i="14" s="1"/>
  <c r="F63" i="17" s="1"/>
  <c r="BC88" i="14"/>
  <c r="BC100" i="14" s="1"/>
  <c r="BC87" i="14"/>
  <c r="D20" i="17" s="1"/>
  <c r="BE75" i="14"/>
  <c r="BE87" i="14" s="1"/>
  <c r="E20" i="17" s="1"/>
  <c r="BC75" i="14"/>
  <c r="BE61" i="14"/>
  <c r="BE74" i="14" s="1"/>
  <c r="E19" i="17" s="1"/>
  <c r="BC61" i="14"/>
  <c r="BC74" i="14" s="1"/>
  <c r="D19" i="17" s="1"/>
  <c r="BE48" i="14"/>
  <c r="BE60" i="14" s="1"/>
  <c r="BC48" i="14"/>
  <c r="BC60" i="14" s="1"/>
  <c r="E61" i="17" s="1"/>
  <c r="BE40" i="14"/>
  <c r="BE47" i="14" s="1"/>
  <c r="BC40" i="14"/>
  <c r="BC47" i="14" s="1"/>
  <c r="BE9" i="14"/>
  <c r="BE39" i="14" s="1"/>
  <c r="BC9" i="14"/>
  <c r="BC39" i="14" s="1"/>
  <c r="E59" i="17" s="1"/>
  <c r="BD145" i="14"/>
  <c r="BB145" i="14"/>
  <c r="BD142" i="14"/>
  <c r="BB142" i="14"/>
  <c r="BD138" i="14"/>
  <c r="BB138" i="14"/>
  <c r="BE132" i="14"/>
  <c r="E23" i="17" s="1"/>
  <c r="BD132" i="14"/>
  <c r="BC132" i="14"/>
  <c r="D23" i="17" s="1"/>
  <c r="BB132" i="14"/>
  <c r="BD117" i="14"/>
  <c r="BB117" i="14"/>
  <c r="BD100" i="14"/>
  <c r="BB100" i="14"/>
  <c r="BA88" i="14"/>
  <c r="BA100" i="14"/>
  <c r="BD87" i="14"/>
  <c r="BB87" i="14"/>
  <c r="BD74" i="14"/>
  <c r="BB74" i="14"/>
  <c r="BD60" i="14"/>
  <c r="BB60" i="14"/>
  <c r="BD47" i="14"/>
  <c r="BB47" i="14"/>
  <c r="BD39" i="14"/>
  <c r="BB39" i="14"/>
  <c r="BB146" i="14" s="1"/>
  <c r="AP145" i="14"/>
  <c r="AP138" i="14"/>
  <c r="AP132" i="14"/>
  <c r="AP117" i="14"/>
  <c r="AP100" i="14"/>
  <c r="AP87" i="14"/>
  <c r="AP74" i="14"/>
  <c r="AP60" i="14"/>
  <c r="AP47" i="14"/>
  <c r="AP39" i="14"/>
  <c r="E69" i="17" l="1"/>
  <c r="D25" i="17"/>
  <c r="BD146" i="14"/>
  <c r="E36" i="17" s="1"/>
  <c r="E35" i="17"/>
  <c r="E63" i="17"/>
  <c r="D21" i="17"/>
  <c r="F68" i="17"/>
  <c r="E24" i="17"/>
  <c r="E68" i="17"/>
  <c r="D24" i="17"/>
  <c r="F61" i="17"/>
  <c r="E18" i="17"/>
  <c r="F60" i="17"/>
  <c r="E17" i="17"/>
  <c r="F70" i="17"/>
  <c r="E26" i="17"/>
  <c r="F69" i="17"/>
  <c r="E25" i="17"/>
  <c r="E70" i="17"/>
  <c r="D26" i="17"/>
  <c r="F59" i="17"/>
  <c r="E16" i="17"/>
  <c r="E60" i="17"/>
  <c r="D17" i="17"/>
  <c r="D16" i="17"/>
  <c r="E21" i="17"/>
  <c r="D18" i="17"/>
  <c r="U144" i="14"/>
  <c r="U143" i="14"/>
  <c r="V143" i="14" s="1"/>
  <c r="U141" i="14"/>
  <c r="V141" i="14" s="1"/>
  <c r="U140" i="14"/>
  <c r="V140" i="14" s="1"/>
  <c r="U139" i="14"/>
  <c r="V139" i="14" s="1"/>
  <c r="U137" i="14"/>
  <c r="V137" i="14" s="1"/>
  <c r="U136" i="14"/>
  <c r="V136" i="14" s="1"/>
  <c r="U135" i="14"/>
  <c r="U134" i="14"/>
  <c r="U133" i="14"/>
  <c r="V133" i="14" s="1"/>
  <c r="U131" i="14"/>
  <c r="V131" i="14" s="1"/>
  <c r="U130" i="14"/>
  <c r="V130" i="14" s="1"/>
  <c r="U129" i="14"/>
  <c r="U128" i="14"/>
  <c r="U127" i="14"/>
  <c r="U126" i="14"/>
  <c r="U125" i="14"/>
  <c r="U124" i="14"/>
  <c r="U123" i="14"/>
  <c r="U122" i="14"/>
  <c r="U121" i="14"/>
  <c r="U120" i="14"/>
  <c r="U119" i="14"/>
  <c r="U118" i="14"/>
  <c r="U116" i="14"/>
  <c r="U115" i="14"/>
  <c r="U114" i="14"/>
  <c r="U113" i="14"/>
  <c r="U112" i="14"/>
  <c r="U111" i="14"/>
  <c r="U110" i="14"/>
  <c r="U109" i="14"/>
  <c r="U108" i="14"/>
  <c r="U107" i="14"/>
  <c r="U106" i="14"/>
  <c r="U105" i="14"/>
  <c r="U104" i="14"/>
  <c r="U103" i="14"/>
  <c r="V103" i="14" s="1"/>
  <c r="U102" i="14"/>
  <c r="V102" i="14" s="1"/>
  <c r="U101" i="14"/>
  <c r="U99" i="14"/>
  <c r="V99" i="14" s="1"/>
  <c r="U98" i="14"/>
  <c r="V98" i="14" s="1"/>
  <c r="U97" i="14"/>
  <c r="V97" i="14" s="1"/>
  <c r="U96" i="14"/>
  <c r="V96" i="14" s="1"/>
  <c r="U95" i="14"/>
  <c r="V95" i="14" s="1"/>
  <c r="U94" i="14"/>
  <c r="V94" i="14" s="1"/>
  <c r="U93" i="14"/>
  <c r="V93" i="14" s="1"/>
  <c r="U92" i="14"/>
  <c r="V92" i="14" s="1"/>
  <c r="U91" i="14"/>
  <c r="V91" i="14" s="1"/>
  <c r="U90" i="14"/>
  <c r="V90" i="14" s="1"/>
  <c r="U89" i="14"/>
  <c r="V89" i="14" s="1"/>
  <c r="U88" i="14"/>
  <c r="V88" i="14" s="1"/>
  <c r="U86" i="14"/>
  <c r="V86" i="14" s="1"/>
  <c r="U85" i="14"/>
  <c r="V85" i="14" s="1"/>
  <c r="U84" i="14"/>
  <c r="V84" i="14" s="1"/>
  <c r="U83" i="14"/>
  <c r="V83" i="14" s="1"/>
  <c r="U82" i="14"/>
  <c r="V82" i="14" s="1"/>
  <c r="U81" i="14"/>
  <c r="U80" i="14"/>
  <c r="V80" i="14" s="1"/>
  <c r="U79" i="14"/>
  <c r="U78" i="14"/>
  <c r="U77" i="14"/>
  <c r="U76" i="14"/>
  <c r="U75" i="14"/>
  <c r="V75" i="14" s="1"/>
  <c r="U73" i="14"/>
  <c r="V73" i="14" s="1"/>
  <c r="U72" i="14"/>
  <c r="V72" i="14" s="1"/>
  <c r="U71" i="14"/>
  <c r="V71" i="14" s="1"/>
  <c r="U70" i="14"/>
  <c r="V70" i="14" s="1"/>
  <c r="U69" i="14"/>
  <c r="V69" i="14" s="1"/>
  <c r="U68" i="14"/>
  <c r="V68" i="14" s="1"/>
  <c r="U67" i="14"/>
  <c r="V67" i="14" s="1"/>
  <c r="U66" i="14"/>
  <c r="V66" i="14" s="1"/>
  <c r="U65" i="14"/>
  <c r="V65" i="14" s="1"/>
  <c r="U64" i="14"/>
  <c r="V64" i="14" s="1"/>
  <c r="U63" i="14"/>
  <c r="V63" i="14" s="1"/>
  <c r="U62" i="14"/>
  <c r="V62" i="14" s="1"/>
  <c r="U61" i="14"/>
  <c r="V61" i="14" s="1"/>
  <c r="U59" i="14"/>
  <c r="V59" i="14" s="1"/>
  <c r="U58" i="14"/>
  <c r="V58" i="14" s="1"/>
  <c r="U57" i="14"/>
  <c r="V57" i="14" s="1"/>
  <c r="U56" i="14"/>
  <c r="V56" i="14" s="1"/>
  <c r="U55" i="14"/>
  <c r="V55" i="14" s="1"/>
  <c r="U54" i="14"/>
  <c r="V54" i="14" s="1"/>
  <c r="U53" i="14"/>
  <c r="V53" i="14" s="1"/>
  <c r="U52" i="14"/>
  <c r="V52" i="14" s="1"/>
  <c r="U51" i="14"/>
  <c r="V51" i="14" s="1"/>
  <c r="U50" i="14"/>
  <c r="V50" i="14" s="1"/>
  <c r="U49" i="14"/>
  <c r="V49" i="14" s="1"/>
  <c r="U48" i="14"/>
  <c r="V48" i="14" s="1"/>
  <c r="U46" i="14"/>
  <c r="V46" i="14" s="1"/>
  <c r="U45" i="14"/>
  <c r="V45" i="14" s="1"/>
  <c r="U44" i="14"/>
  <c r="V44" i="14" s="1"/>
  <c r="U43" i="14"/>
  <c r="V43" i="14" s="1"/>
  <c r="U42" i="14"/>
  <c r="V42" i="14" s="1"/>
  <c r="U41" i="14"/>
  <c r="U40" i="14"/>
  <c r="U38" i="14"/>
  <c r="V38" i="14" s="1"/>
  <c r="U37" i="14"/>
  <c r="V37" i="14" s="1"/>
  <c r="U36" i="14"/>
  <c r="V36" i="14" s="1"/>
  <c r="U35" i="14"/>
  <c r="V35" i="14" s="1"/>
  <c r="U34" i="14"/>
  <c r="V34" i="14" s="1"/>
  <c r="U33" i="14"/>
  <c r="V33" i="14" s="1"/>
  <c r="U32" i="14"/>
  <c r="V32" i="14" s="1"/>
  <c r="U31" i="14"/>
  <c r="V31" i="14" s="1"/>
  <c r="U30" i="14"/>
  <c r="V30" i="14" s="1"/>
  <c r="U29" i="14"/>
  <c r="V29" i="14" s="1"/>
  <c r="U28" i="14"/>
  <c r="V28" i="14" s="1"/>
  <c r="U27" i="14"/>
  <c r="V27" i="14" s="1"/>
  <c r="U26" i="14"/>
  <c r="V26" i="14" s="1"/>
  <c r="U25" i="14"/>
  <c r="V25" i="14" s="1"/>
  <c r="U24" i="14"/>
  <c r="V24" i="14" s="1"/>
  <c r="U23" i="14"/>
  <c r="V23" i="14" s="1"/>
  <c r="U22" i="14"/>
  <c r="V22" i="14" s="1"/>
  <c r="U21" i="14"/>
  <c r="V21" i="14" s="1"/>
  <c r="U20" i="14"/>
  <c r="V20" i="14" s="1"/>
  <c r="U19" i="14"/>
  <c r="V19" i="14" s="1"/>
  <c r="U18" i="14"/>
  <c r="V18" i="14" s="1"/>
  <c r="U17" i="14"/>
  <c r="V17" i="14" s="1"/>
  <c r="U16" i="14"/>
  <c r="V16" i="14" s="1"/>
  <c r="U15" i="14"/>
  <c r="V15" i="14" s="1"/>
  <c r="U14" i="14"/>
  <c r="U13" i="14"/>
  <c r="V13" i="14" s="1"/>
  <c r="U12" i="14"/>
  <c r="V12" i="14" s="1"/>
  <c r="U11" i="14"/>
  <c r="V11" i="14" s="1"/>
  <c r="U10" i="14"/>
  <c r="V10" i="14" s="1"/>
  <c r="U9" i="14"/>
  <c r="V9" i="14" s="1"/>
  <c r="V87" i="14" l="1"/>
  <c r="AZ145" i="14"/>
  <c r="AX145" i="14"/>
  <c r="BA143" i="14"/>
  <c r="BA145" i="14" s="1"/>
  <c r="AY143" i="14"/>
  <c r="AY145" i="14" s="1"/>
  <c r="AO145" i="14"/>
  <c r="BA139" i="14"/>
  <c r="BA142" i="14" s="1"/>
  <c r="AZ142" i="14"/>
  <c r="AX142" i="14"/>
  <c r="AY139" i="14"/>
  <c r="AY142" i="14" s="1"/>
  <c r="AP142" i="14"/>
  <c r="AP146" i="14" s="1"/>
  <c r="AO142" i="14"/>
  <c r="AZ138" i="14"/>
  <c r="AX138" i="14"/>
  <c r="BA133" i="14"/>
  <c r="BA138" i="14" s="1"/>
  <c r="AY133" i="14"/>
  <c r="AY138" i="14" s="1"/>
  <c r="AO138" i="14"/>
  <c r="BA118" i="14"/>
  <c r="AY118" i="14"/>
  <c r="AY132" i="14" s="1"/>
  <c r="BA132" i="14"/>
  <c r="AZ132" i="14"/>
  <c r="AX132" i="14"/>
  <c r="AO132" i="14"/>
  <c r="BA101" i="14"/>
  <c r="BA117" i="14" s="1"/>
  <c r="AY101" i="14"/>
  <c r="AY117" i="14" s="1"/>
  <c r="AZ117" i="14"/>
  <c r="AX117" i="14"/>
  <c r="AO117" i="14"/>
  <c r="AZ100" i="14"/>
  <c r="AX100" i="14"/>
  <c r="AY88" i="14"/>
  <c r="AY100" i="14" s="1"/>
  <c r="AO100" i="14"/>
  <c r="AZ87" i="14"/>
  <c r="AX87" i="14"/>
  <c r="BA75" i="14"/>
  <c r="BA87" i="14" s="1"/>
  <c r="AY75" i="14"/>
  <c r="AY87" i="14" s="1"/>
  <c r="AO87" i="14"/>
  <c r="AZ74" i="14"/>
  <c r="AX74" i="14"/>
  <c r="BA61" i="14"/>
  <c r="BA74" i="14" s="1"/>
  <c r="AY61" i="14"/>
  <c r="AY74" i="14" s="1"/>
  <c r="AO74" i="14"/>
  <c r="BA60" i="14"/>
  <c r="AZ60" i="14"/>
  <c r="AY60" i="14"/>
  <c r="AX60" i="14"/>
  <c r="AO60" i="14"/>
  <c r="BA40" i="14"/>
  <c r="BA47" i="14" s="1"/>
  <c r="AY40" i="14"/>
  <c r="AY47" i="14" s="1"/>
  <c r="AZ47" i="14"/>
  <c r="AX47" i="14"/>
  <c r="AO47" i="14"/>
  <c r="AZ39" i="14"/>
  <c r="AX39" i="14"/>
  <c r="BA9" i="14"/>
  <c r="BA39" i="14" s="1"/>
  <c r="AY9" i="14"/>
  <c r="AY39" i="14" s="1"/>
  <c r="AO39" i="14"/>
  <c r="AN60" i="14"/>
  <c r="AM60" i="14"/>
  <c r="AN47" i="14"/>
  <c r="AM47" i="14"/>
  <c r="AN39" i="14"/>
  <c r="AM39" i="14"/>
  <c r="AW117" i="14"/>
  <c r="AV117" i="14"/>
  <c r="AU117" i="14"/>
  <c r="AT117" i="14"/>
  <c r="AN117" i="14"/>
  <c r="AM117" i="14"/>
  <c r="AV138" i="14"/>
  <c r="AW133" i="14"/>
  <c r="AW138" i="14" s="1"/>
  <c r="AT138" i="14"/>
  <c r="AU133" i="14"/>
  <c r="AU138" i="14" s="1"/>
  <c r="AN138" i="14"/>
  <c r="AW142" i="14"/>
  <c r="AV142" i="14"/>
  <c r="AU142" i="14"/>
  <c r="AT142" i="14"/>
  <c r="AN142" i="14"/>
  <c r="AW145" i="14"/>
  <c r="AV145" i="14"/>
  <c r="AU145" i="14"/>
  <c r="AT145" i="14"/>
  <c r="AN145" i="14"/>
  <c r="AM145" i="14"/>
  <c r="AM142" i="14"/>
  <c r="AM138" i="14"/>
  <c r="AW132" i="14"/>
  <c r="AV132" i="14"/>
  <c r="AU132" i="14"/>
  <c r="AT132" i="14"/>
  <c r="AN132" i="14"/>
  <c r="AM132" i="14"/>
  <c r="AW100" i="14"/>
  <c r="AV100" i="14"/>
  <c r="AU100" i="14"/>
  <c r="AT100" i="14"/>
  <c r="AN100" i="14"/>
  <c r="AM100" i="14"/>
  <c r="AW87" i="14"/>
  <c r="AV87" i="14"/>
  <c r="AU87" i="14"/>
  <c r="AT87" i="14"/>
  <c r="AN87" i="14"/>
  <c r="AM87" i="14"/>
  <c r="AW74" i="14"/>
  <c r="AV74" i="14"/>
  <c r="AU74" i="14"/>
  <c r="AT74" i="14"/>
  <c r="AU61" i="14"/>
  <c r="AN74" i="14"/>
  <c r="AM74" i="14"/>
  <c r="AW60" i="14"/>
  <c r="AV60" i="14"/>
  <c r="AU60" i="14"/>
  <c r="AT60" i="14"/>
  <c r="AW47" i="14"/>
  <c r="AV47" i="14"/>
  <c r="AU47" i="14"/>
  <c r="AT47" i="14"/>
  <c r="AV39" i="14"/>
  <c r="AT39" i="14"/>
  <c r="AW9" i="14"/>
  <c r="AW39" i="14" s="1"/>
  <c r="AU9" i="14"/>
  <c r="AU39" i="14" s="1"/>
  <c r="AD24" i="12"/>
  <c r="AD22" i="12"/>
  <c r="R21" i="12"/>
  <c r="AE21" i="12"/>
  <c r="AD21" i="12"/>
  <c r="Z21" i="12"/>
  <c r="AA35" i="12"/>
  <c r="AA34" i="12"/>
  <c r="AA33" i="12"/>
  <c r="AA32" i="12"/>
  <c r="AA30" i="12"/>
  <c r="AA29" i="12"/>
  <c r="AA27" i="12"/>
  <c r="AA24" i="12"/>
  <c r="AA20" i="12"/>
  <c r="AA18" i="12"/>
  <c r="AA17" i="12"/>
  <c r="AA15" i="12"/>
  <c r="AA14" i="12"/>
  <c r="AA12" i="12"/>
  <c r="AA10" i="12"/>
  <c r="E34" i="17" l="1"/>
  <c r="BC146" i="14"/>
  <c r="BE146" i="14"/>
  <c r="AO146" i="14"/>
  <c r="AV146" i="14"/>
  <c r="AT146" i="14"/>
  <c r="BG142" i="14"/>
  <c r="BI142" i="14"/>
  <c r="AQ146" i="14"/>
  <c r="AX146" i="14"/>
  <c r="AZ146" i="14"/>
  <c r="AM146" i="14"/>
  <c r="E33" i="17" s="1"/>
  <c r="AN146" i="14"/>
  <c r="V38" i="12"/>
  <c r="V35" i="12"/>
  <c r="V34" i="12"/>
  <c r="V32" i="12"/>
  <c r="V30" i="12"/>
  <c r="V29" i="12"/>
  <c r="V25" i="12"/>
  <c r="V24" i="12"/>
  <c r="V23" i="12"/>
  <c r="V20" i="12"/>
  <c r="V18" i="12"/>
  <c r="V17" i="12"/>
  <c r="V15" i="12"/>
  <c r="V14" i="12"/>
  <c r="V11" i="12"/>
  <c r="V10" i="12"/>
  <c r="V9" i="12"/>
  <c r="Z33" i="12"/>
  <c r="V33" i="12" s="1"/>
  <c r="Z27" i="12"/>
  <c r="V27" i="12" s="1"/>
  <c r="BA146" i="14" l="1"/>
  <c r="AY146" i="14"/>
  <c r="BG146" i="14"/>
  <c r="BI146" i="14"/>
  <c r="F36" i="17"/>
  <c r="F35" i="17"/>
  <c r="AU146" i="14"/>
  <c r="AW146" i="14"/>
  <c r="AG9" i="12"/>
  <c r="AF9" i="12"/>
  <c r="AD9" i="12"/>
  <c r="Y9" i="12"/>
  <c r="AE9" i="12" s="1"/>
  <c r="AG23" i="12"/>
  <c r="Y23" i="12"/>
  <c r="AE23" i="12" s="1"/>
  <c r="AG25" i="12"/>
  <c r="AE25" i="12"/>
  <c r="Y25" i="12"/>
  <c r="AF38" i="12"/>
  <c r="AG38" i="12"/>
  <c r="AD38" i="12"/>
  <c r="Y38" i="12"/>
  <c r="AE38" i="12" s="1"/>
  <c r="Y35" i="12"/>
  <c r="AF34" i="12"/>
  <c r="AD34" i="12"/>
  <c r="Y34" i="12"/>
  <c r="Y33" i="12"/>
  <c r="AF32" i="12"/>
  <c r="Y32" i="12"/>
  <c r="Y30" i="12"/>
  <c r="Y29" i="12"/>
  <c r="AF27" i="12"/>
  <c r="AD27" i="12"/>
  <c r="Y27" i="12"/>
  <c r="Y24" i="12"/>
  <c r="AF20" i="12"/>
  <c r="AD20" i="12"/>
  <c r="Y20" i="12"/>
  <c r="AF18" i="12"/>
  <c r="AD18" i="12"/>
  <c r="Y18" i="12"/>
  <c r="AF17" i="12"/>
  <c r="AD17" i="12"/>
  <c r="Y17" i="12"/>
  <c r="AF15" i="12"/>
  <c r="AD15" i="12"/>
  <c r="Y15" i="12"/>
  <c r="Y14" i="12"/>
  <c r="AF11" i="12"/>
  <c r="AD11" i="12"/>
  <c r="Y11" i="12"/>
  <c r="AF10" i="12"/>
  <c r="AD10" i="12"/>
  <c r="Y10" i="12"/>
  <c r="AA21" i="12"/>
  <c r="V22" i="12"/>
  <c r="AE22" i="12" s="1"/>
  <c r="V37" i="12"/>
  <c r="V40" i="12"/>
  <c r="T33" i="12"/>
  <c r="S33" i="12"/>
  <c r="AF40" i="12" l="1"/>
  <c r="AF41" i="12" s="1"/>
  <c r="C70" i="17" s="1"/>
  <c r="AD40" i="12"/>
  <c r="Y40" i="12"/>
  <c r="AF37" i="12"/>
  <c r="AD37" i="12"/>
  <c r="Y37" i="12"/>
  <c r="AG22" i="12"/>
  <c r="Y22" i="12"/>
  <c r="AE10" i="12"/>
  <c r="AG10" i="12"/>
  <c r="AE11" i="12"/>
  <c r="AG11" i="12"/>
  <c r="AE14" i="12"/>
  <c r="AG14" i="12"/>
  <c r="AE15" i="12"/>
  <c r="AG15" i="12"/>
  <c r="AE17" i="12"/>
  <c r="AG17" i="12"/>
  <c r="AE18" i="12"/>
  <c r="AG18" i="12"/>
  <c r="AE20" i="12"/>
  <c r="AG20" i="12"/>
  <c r="AE24" i="12"/>
  <c r="AG24" i="12"/>
  <c r="AE27" i="12"/>
  <c r="AG27" i="12"/>
  <c r="AE29" i="12"/>
  <c r="AG29" i="12"/>
  <c r="AE30" i="12"/>
  <c r="AG30" i="12"/>
  <c r="AG32" i="12"/>
  <c r="AG34" i="12"/>
  <c r="AG35" i="12"/>
  <c r="AG21" i="12"/>
  <c r="AG12" i="12"/>
  <c r="AG37" i="12" l="1"/>
  <c r="AE37" i="12"/>
  <c r="AG40" i="12"/>
  <c r="AE40" i="12"/>
  <c r="Y69" i="14" l="1"/>
  <c r="Y76" i="14" l="1"/>
  <c r="V145" i="14"/>
  <c r="C26" i="17" s="1"/>
  <c r="V142" i="14"/>
  <c r="C25" i="17" s="1"/>
  <c r="V138" i="14"/>
  <c r="C24" i="17" s="1"/>
  <c r="V132" i="14"/>
  <c r="C23" i="17" s="1"/>
  <c r="V117" i="14"/>
  <c r="C22" i="17" s="1"/>
  <c r="V100" i="14"/>
  <c r="C21" i="17" s="1"/>
  <c r="C20" i="17"/>
  <c r="V74" i="14"/>
  <c r="C19" i="17" s="1"/>
  <c r="V60" i="14"/>
  <c r="C18" i="17" s="1"/>
  <c r="V47" i="14"/>
  <c r="C17" i="17" s="1"/>
  <c r="V39" i="14"/>
  <c r="C16" i="17" l="1"/>
  <c r="Y144" i="14"/>
  <c r="Y143" i="14"/>
  <c r="Y141" i="14"/>
  <c r="Z140" i="14"/>
  <c r="Y140" i="14"/>
  <c r="Z139" i="14"/>
  <c r="Y139" i="14"/>
  <c r="Z137" i="14"/>
  <c r="Y137" i="14"/>
  <c r="Y136" i="14"/>
  <c r="Y135" i="14"/>
  <c r="Y134" i="14"/>
  <c r="Y133" i="14"/>
  <c r="Y131" i="14"/>
  <c r="Y130" i="14"/>
  <c r="Y129" i="14"/>
  <c r="Y128" i="14"/>
  <c r="Y127" i="14"/>
  <c r="Y126" i="14"/>
  <c r="Y125" i="14"/>
  <c r="Y124" i="14"/>
  <c r="Y123" i="14"/>
  <c r="Y122" i="14"/>
  <c r="Y121" i="14"/>
  <c r="Y120" i="14"/>
  <c r="Y119" i="14"/>
  <c r="Y118" i="14"/>
  <c r="Y116" i="14"/>
  <c r="Y115" i="14"/>
  <c r="Y114" i="14"/>
  <c r="Y113" i="14"/>
  <c r="Y112" i="14"/>
  <c r="Y111" i="14"/>
  <c r="Y110" i="14"/>
  <c r="Y109" i="14"/>
  <c r="Y108" i="14"/>
  <c r="Y107" i="14"/>
  <c r="Y106" i="14"/>
  <c r="Y105" i="14"/>
  <c r="Y104" i="14"/>
  <c r="Y103" i="14"/>
  <c r="Y102" i="14"/>
  <c r="Y101" i="14"/>
  <c r="Y99" i="14"/>
  <c r="Y98" i="14"/>
  <c r="Y97" i="14"/>
  <c r="Y96" i="14"/>
  <c r="Y95" i="14"/>
  <c r="Y94" i="14"/>
  <c r="Y93" i="14"/>
  <c r="Y92" i="14"/>
  <c r="Y91" i="14"/>
  <c r="Y90" i="14"/>
  <c r="Y89" i="14"/>
  <c r="Y88" i="14"/>
  <c r="Y86" i="14"/>
  <c r="Y85" i="14"/>
  <c r="Y84" i="14"/>
  <c r="Y83" i="14"/>
  <c r="Y82" i="14"/>
  <c r="Y81" i="14"/>
  <c r="Y80" i="14"/>
  <c r="Y79" i="14"/>
  <c r="Y78" i="14"/>
  <c r="Y77" i="14"/>
  <c r="Y75" i="14"/>
  <c r="Y73" i="14"/>
  <c r="Y72" i="14"/>
  <c r="Y71" i="14"/>
  <c r="Y70" i="14"/>
  <c r="Y68" i="14"/>
  <c r="Y67" i="14"/>
  <c r="Y66" i="14"/>
  <c r="Y65" i="14"/>
  <c r="Y64" i="14"/>
  <c r="Y63" i="14"/>
  <c r="Y62" i="14"/>
  <c r="Y61" i="14"/>
  <c r="Y59" i="14"/>
  <c r="Y58" i="14"/>
  <c r="Y57" i="14"/>
  <c r="Y56" i="14"/>
  <c r="Y55" i="14"/>
  <c r="Y54" i="14"/>
  <c r="Y53" i="14"/>
  <c r="Y52" i="14"/>
  <c r="Y51" i="14"/>
  <c r="Y50" i="14"/>
  <c r="Y49" i="14"/>
  <c r="Y48" i="14"/>
  <c r="Y46" i="14"/>
  <c r="Y45" i="14"/>
  <c r="Y44" i="14"/>
  <c r="Y43" i="14"/>
  <c r="Y42" i="14"/>
  <c r="Y41" i="14"/>
  <c r="Y40" i="14"/>
  <c r="Y38" i="14"/>
  <c r="Y37" i="14"/>
  <c r="Y36" i="14"/>
  <c r="Y35" i="14"/>
  <c r="Y34" i="14"/>
  <c r="Y33" i="14"/>
  <c r="Y32" i="14"/>
  <c r="Y31" i="14"/>
  <c r="Y30" i="14"/>
  <c r="Y29" i="14"/>
  <c r="Y28" i="14"/>
  <c r="Y27" i="14"/>
  <c r="Y26" i="14"/>
  <c r="Y25" i="14"/>
  <c r="Y24" i="14"/>
  <c r="Y23" i="14"/>
  <c r="Y22" i="14"/>
  <c r="Y21" i="14"/>
  <c r="Y20" i="14"/>
  <c r="Y19" i="14"/>
  <c r="Y18" i="14"/>
  <c r="Y17" i="14"/>
  <c r="Y16" i="14"/>
  <c r="Y15" i="14"/>
  <c r="Y14" i="14"/>
  <c r="Y13" i="14"/>
  <c r="Y12" i="14"/>
  <c r="Y11" i="14"/>
  <c r="Y10" i="14"/>
  <c r="Y9" i="14"/>
  <c r="R33" i="12" l="1"/>
  <c r="Q33" i="12"/>
  <c r="AF28" i="12" l="1"/>
  <c r="C63" i="17" s="1"/>
  <c r="AF39" i="12"/>
  <c r="C69" i="17" s="1"/>
  <c r="AD41" i="12" l="1"/>
  <c r="AD39" i="12"/>
  <c r="AD28" i="12"/>
  <c r="AD26" i="12"/>
  <c r="AF26" i="12"/>
  <c r="C62" i="17" s="1"/>
  <c r="AG13" i="12"/>
  <c r="D59" i="17" s="1"/>
  <c r="AD31" i="12"/>
  <c r="AF31" i="12"/>
  <c r="C67" i="17" s="1"/>
  <c r="AF19" i="12"/>
  <c r="C61" i="17" s="1"/>
  <c r="AD19" i="12"/>
  <c r="AG28" i="12"/>
  <c r="D63" i="17" s="1"/>
  <c r="AF36" i="12"/>
  <c r="C68" i="17" s="1"/>
  <c r="AD36" i="12"/>
  <c r="AD16" i="12"/>
  <c r="AG41" i="12"/>
  <c r="D70" i="17" s="1"/>
  <c r="AF16" i="12"/>
  <c r="C60" i="17" s="1"/>
  <c r="AG26" i="12"/>
  <c r="D62" i="17" s="1"/>
  <c r="AE26" i="12" l="1"/>
  <c r="AE41" i="12"/>
  <c r="AE31" i="12"/>
  <c r="AE28" i="12"/>
  <c r="AG19" i="12"/>
  <c r="D61" i="17" s="1"/>
  <c r="AG31" i="12"/>
  <c r="D67" i="17" s="1"/>
  <c r="AG16" i="12"/>
  <c r="D60" i="17" s="1"/>
  <c r="AE16" i="12"/>
  <c r="AE19" i="12"/>
  <c r="AE36" i="12"/>
  <c r="AG36" i="12"/>
  <c r="D68" i="17" s="1"/>
  <c r="AG39" i="12"/>
  <c r="D69" i="17" s="1"/>
  <c r="AE39" i="12"/>
  <c r="AG42" i="12" l="1"/>
  <c r="AT143" i="11" l="1"/>
  <c r="AS143" i="11"/>
  <c r="AR143" i="11"/>
  <c r="AQ143" i="11"/>
  <c r="AP143" i="11"/>
  <c r="R143" i="11"/>
  <c r="U142" i="11"/>
  <c r="U141" i="11"/>
  <c r="AT140" i="11"/>
  <c r="AS140" i="11"/>
  <c r="AR140" i="11"/>
  <c r="AQ140" i="11"/>
  <c r="AP140" i="11"/>
  <c r="R140" i="11"/>
  <c r="U139" i="11"/>
  <c r="V138" i="11"/>
  <c r="U138" i="11"/>
  <c r="V137" i="11"/>
  <c r="U137" i="11"/>
  <c r="AT136" i="11"/>
  <c r="AS136" i="11"/>
  <c r="AR136" i="11"/>
  <c r="AQ136" i="11"/>
  <c r="AP136" i="11"/>
  <c r="V135" i="11"/>
  <c r="U135" i="11"/>
  <c r="P135" i="11"/>
  <c r="J135" i="11"/>
  <c r="U134" i="11"/>
  <c r="J134" i="11"/>
  <c r="U133" i="11"/>
  <c r="J133" i="11"/>
  <c r="U132" i="11"/>
  <c r="AV131" i="11"/>
  <c r="AV136" i="11" s="1"/>
  <c r="AU131" i="11"/>
  <c r="AU136" i="11" s="1"/>
  <c r="U131" i="11"/>
  <c r="AT130" i="11"/>
  <c r="AS130" i="11"/>
  <c r="AR130" i="11"/>
  <c r="AQ130" i="11"/>
  <c r="AP130" i="11"/>
  <c r="U129" i="11"/>
  <c r="U128" i="11"/>
  <c r="U127" i="11"/>
  <c r="U126" i="11"/>
  <c r="U125" i="11"/>
  <c r="U124" i="11"/>
  <c r="U123" i="11"/>
  <c r="U122" i="11"/>
  <c r="U121" i="11"/>
  <c r="U120" i="11"/>
  <c r="U119" i="11"/>
  <c r="U118" i="11"/>
  <c r="U117" i="11"/>
  <c r="U116" i="11"/>
  <c r="R116" i="11"/>
  <c r="AT115" i="11"/>
  <c r="AS115" i="11"/>
  <c r="AR115" i="11"/>
  <c r="AQ115" i="11"/>
  <c r="AP115" i="11"/>
  <c r="U114" i="11"/>
  <c r="U113" i="11"/>
  <c r="U112" i="11"/>
  <c r="U111" i="11"/>
  <c r="U110" i="11"/>
  <c r="U109" i="11"/>
  <c r="U108" i="11"/>
  <c r="U107" i="11"/>
  <c r="U106" i="11"/>
  <c r="U105" i="11"/>
  <c r="U104" i="11"/>
  <c r="U103" i="11"/>
  <c r="U102" i="11"/>
  <c r="U101" i="11"/>
  <c r="U100" i="11"/>
  <c r="U99" i="11"/>
  <c r="AT98" i="11"/>
  <c r="AS98" i="11"/>
  <c r="AR98" i="11"/>
  <c r="AQ98" i="11"/>
  <c r="AP98" i="11"/>
  <c r="U97" i="11"/>
  <c r="P97" i="11"/>
  <c r="U96" i="11"/>
  <c r="U95" i="11"/>
  <c r="U94" i="11"/>
  <c r="U93" i="11"/>
  <c r="U92" i="11"/>
  <c r="U91" i="11"/>
  <c r="U90" i="11"/>
  <c r="U89" i="11"/>
  <c r="U88" i="11"/>
  <c r="U87" i="11"/>
  <c r="U86" i="11"/>
  <c r="AT85" i="11"/>
  <c r="AS85" i="11"/>
  <c r="AR85" i="11"/>
  <c r="AQ85" i="11"/>
  <c r="AP85" i="11"/>
  <c r="U84" i="11"/>
  <c r="R84" i="11"/>
  <c r="U83" i="11"/>
  <c r="R83" i="11"/>
  <c r="U82" i="11"/>
  <c r="R82" i="11"/>
  <c r="U81" i="11"/>
  <c r="R81" i="11"/>
  <c r="U80" i="11"/>
  <c r="R80" i="11"/>
  <c r="U79" i="11"/>
  <c r="R79" i="11"/>
  <c r="U78" i="11"/>
  <c r="R78" i="11"/>
  <c r="U77" i="11"/>
  <c r="R77" i="11"/>
  <c r="U76" i="11"/>
  <c r="U75" i="11"/>
  <c r="U74" i="11"/>
  <c r="AT73" i="11"/>
  <c r="AS73" i="11"/>
  <c r="AR73" i="11"/>
  <c r="AQ73" i="11"/>
  <c r="AP73" i="11"/>
  <c r="U72" i="11"/>
  <c r="U71" i="11"/>
  <c r="U70" i="11"/>
  <c r="U69" i="11"/>
  <c r="U68" i="11"/>
  <c r="U67" i="11"/>
  <c r="U66" i="11"/>
  <c r="U65" i="11"/>
  <c r="U64" i="11"/>
  <c r="R64" i="11"/>
  <c r="U63" i="11"/>
  <c r="R63" i="11"/>
  <c r="U62" i="11"/>
  <c r="U61" i="11"/>
  <c r="R61" i="11"/>
  <c r="AT60" i="11"/>
  <c r="AS60" i="11"/>
  <c r="AR60" i="11"/>
  <c r="AQ60" i="11"/>
  <c r="AP60" i="11"/>
  <c r="U59" i="11"/>
  <c r="U58" i="11"/>
  <c r="R58" i="11"/>
  <c r="U57" i="11"/>
  <c r="R57" i="11"/>
  <c r="U56" i="11"/>
  <c r="R56" i="11"/>
  <c r="U55" i="11"/>
  <c r="R55" i="11"/>
  <c r="U54" i="11"/>
  <c r="R54" i="11"/>
  <c r="U53" i="11"/>
  <c r="R53" i="11"/>
  <c r="U52" i="11"/>
  <c r="R52" i="11"/>
  <c r="U51" i="11"/>
  <c r="R51" i="11"/>
  <c r="U50" i="11"/>
  <c r="R50" i="11"/>
  <c r="U49" i="11"/>
  <c r="R49" i="11"/>
  <c r="U48" i="11"/>
  <c r="R48" i="11"/>
  <c r="AT47" i="11"/>
  <c r="AS47" i="11"/>
  <c r="AR47" i="11"/>
  <c r="AQ47" i="11"/>
  <c r="AP47" i="11"/>
  <c r="U46" i="11"/>
  <c r="R46" i="11"/>
  <c r="U45" i="11"/>
  <c r="R45" i="11"/>
  <c r="U44" i="11"/>
  <c r="R44" i="11"/>
  <c r="U43" i="11"/>
  <c r="R43" i="11"/>
  <c r="U42" i="11"/>
  <c r="R42" i="11"/>
  <c r="U41" i="11"/>
  <c r="U40" i="11"/>
  <c r="AT39" i="11"/>
  <c r="AS39" i="11"/>
  <c r="AR39" i="11"/>
  <c r="AQ39" i="11"/>
  <c r="AP39" i="11"/>
  <c r="U38" i="11"/>
  <c r="R38" i="11"/>
  <c r="U37" i="11"/>
  <c r="R37" i="11"/>
  <c r="U36" i="11"/>
  <c r="R36" i="11"/>
  <c r="U35" i="11"/>
  <c r="R35" i="11"/>
  <c r="U34" i="11"/>
  <c r="R34" i="11"/>
  <c r="U33" i="11"/>
  <c r="R33" i="11"/>
  <c r="U32" i="11"/>
  <c r="R32" i="11"/>
  <c r="U31" i="11"/>
  <c r="R31" i="11"/>
  <c r="U30" i="11"/>
  <c r="R30" i="11"/>
  <c r="U29" i="11"/>
  <c r="R29" i="11"/>
  <c r="U28" i="11"/>
  <c r="R28" i="11"/>
  <c r="U27" i="11"/>
  <c r="R27" i="11"/>
  <c r="U26" i="11"/>
  <c r="R26" i="11"/>
  <c r="U25" i="11"/>
  <c r="R25" i="11"/>
  <c r="U24" i="11"/>
  <c r="R24" i="11"/>
  <c r="U23" i="11"/>
  <c r="R23" i="11"/>
  <c r="U22" i="11"/>
  <c r="R22" i="11"/>
  <c r="U21" i="11"/>
  <c r="R21" i="11"/>
  <c r="U20" i="11"/>
  <c r="R20" i="11"/>
  <c r="U19" i="11"/>
  <c r="R19" i="11"/>
  <c r="U18" i="11"/>
  <c r="R18" i="11"/>
  <c r="U17" i="11"/>
  <c r="R17" i="11"/>
  <c r="U16" i="11"/>
  <c r="R16" i="11"/>
  <c r="U15" i="11"/>
  <c r="R15" i="11"/>
  <c r="U14" i="11"/>
  <c r="R14" i="11"/>
  <c r="U13" i="11"/>
  <c r="R13" i="11"/>
  <c r="U12" i="11"/>
  <c r="R12" i="11"/>
  <c r="U11" i="11"/>
  <c r="U10" i="11"/>
  <c r="AV9" i="11"/>
  <c r="AU9" i="11"/>
  <c r="U9" i="11"/>
  <c r="R60" i="11" l="1"/>
  <c r="R73" i="11"/>
  <c r="AP144" i="11"/>
  <c r="R47" i="11"/>
  <c r="R39" i="11"/>
  <c r="AS144" i="11"/>
  <c r="R85" i="11"/>
  <c r="AT144" i="11"/>
  <c r="AV144" i="11" s="1"/>
  <c r="AU39" i="11"/>
  <c r="AQ144" i="11"/>
  <c r="AV39" i="11"/>
  <c r="R144" i="11" l="1"/>
  <c r="AR144" i="11"/>
  <c r="AU144" i="11"/>
  <c r="V12" i="12" l="1"/>
  <c r="AF12" i="12" s="1"/>
  <c r="AF13" i="12" s="1"/>
  <c r="AF42" i="12" l="1"/>
  <c r="C59" i="17"/>
  <c r="AE12" i="12"/>
  <c r="AE13" i="12" s="1"/>
  <c r="AE42" i="12" s="1"/>
  <c r="AD12" i="12"/>
  <c r="AD13" i="12" s="1"/>
  <c r="AD42"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N8" authorId="0" shapeId="0" xr:uid="{00000000-0006-0000-04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H8" authorId="1" shapeId="0" xr:uid="{00000000-0006-0000-0400-000002000000}">
      <text>
        <r>
          <rPr>
            <sz val="9"/>
            <color indexed="81"/>
            <rFont val="Tahoma"/>
            <family val="2"/>
          </rPr>
          <t xml:space="preserve">VER ANEXO 1
</t>
        </r>
      </text>
    </comment>
    <comment ref="AI8" authorId="1" shapeId="0" xr:uid="{00000000-0006-0000-0400-000003000000}">
      <text>
        <r>
          <rPr>
            <b/>
            <sz val="9"/>
            <color indexed="81"/>
            <rFont val="Tahoma"/>
            <family val="2"/>
          </rPr>
          <t>VER ANEXO 1</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N8" authorId="0" shapeId="0" xr:uid="{00000000-0006-0000-08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xr:uid="{00000000-0006-0000-0800-000002000000}">
      <text>
        <r>
          <rPr>
            <sz val="9"/>
            <color indexed="81"/>
            <rFont val="Tahoma"/>
            <family val="2"/>
          </rPr>
          <t xml:space="preserve">VER ANEXO 1
</t>
        </r>
      </text>
    </comment>
    <comment ref="AE8" authorId="1" shapeId="0" xr:uid="{00000000-0006-0000-08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<sst xmlns="http://schemas.openxmlformats.org/spreadsheetml/2006/main" count="6836" uniqueCount="1083">
  <si>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</si>
  <si>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</si>
  <si>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</si>
  <si>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</si>
  <si>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</si>
  <si>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</si>
  <si>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</si>
  <si>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</si>
  <si>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</si>
  <si>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</si>
  <si>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</si>
  <si>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</si>
  <si>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</si>
  <si>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</si>
  <si>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</si>
  <si>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</si>
  <si>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</si>
  <si>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</si>
  <si>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</si>
  <si>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</si>
  <si>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</si>
  <si>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</si>
  <si>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</si>
  <si>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</si>
  <si>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</si>
  <si>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</si>
  <si>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</si>
  <si>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</si>
  <si>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</si>
  <si>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</si>
  <si>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</si>
  <si>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</si>
  <si>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</si>
  <si>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</si>
  <si>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</si>
  <si>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</si>
  <si>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</si>
  <si>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</si>
  <si>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</si>
  <si>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</si>
  <si>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</si>
  <si>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</si>
  <si>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</si>
  <si>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</si>
  <si>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</si>
  <si>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</si>
  <si>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</si>
  <si>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</si>
  <si>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</si>
  <si>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Recursos propios </t>
  </si>
  <si>
    <t>Licitación pública</t>
  </si>
  <si>
    <t>SGP</t>
  </si>
  <si>
    <t>Selección abreviada menor cuantía</t>
  </si>
  <si>
    <t>Contratación régimen especial - Régimen especial</t>
  </si>
  <si>
    <t>Contratación régimen especial (con ofertas)  - Régimen especial</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</si>
  <si>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</si>
  <si>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</si>
  <si>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</si>
  <si>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</si>
  <si>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</si>
  <si>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</si>
  <si>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</si>
  <si>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</si>
  <si>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</si>
  <si>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</si>
  <si>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</si>
  <si>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</si>
  <si>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</si>
  <si>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</si>
  <si>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</si>
  <si>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</si>
  <si>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</si>
  <si>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</si>
  <si>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</si>
  <si>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</si>
  <si>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</si>
  <si>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</si>
  <si>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</si>
  <si>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</si>
  <si>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</si>
  <si>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</si>
  <si>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</si>
  <si>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</si>
  <si>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</si>
  <si>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</si>
  <si>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</si>
  <si>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</si>
  <si>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</si>
  <si>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</si>
  <si>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</si>
  <si>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</si>
  <si>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</si>
  <si>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</si>
  <si>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</si>
  <si>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</si>
  <si>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</si>
  <si>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</si>
  <si>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</si>
  <si>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</si>
  <si>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</si>
  <si>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</si>
  <si>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</si>
  <si>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</si>
  <si>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</si>
  <si>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</si>
  <si>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</si>
  <si>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</si>
  <si>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</si>
  <si>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</si>
  <si>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</si>
  <si>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</si>
  <si>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</si>
  <si>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</si>
  <si>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</si>
  <si>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</si>
  <si>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</si>
  <si>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</si>
  <si>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</si>
  <si>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</si>
  <si>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</si>
  <si>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</si>
  <si>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</si>
  <si>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</si>
  <si>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</si>
  <si>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</si>
  <si>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</si>
  <si>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</si>
  <si>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</si>
  <si>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</si>
  <si>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</si>
  <si>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</si>
  <si>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</si>
  <si>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</si>
  <si>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</si>
  <si>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</si>
  <si>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</si>
  <si>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</si>
  <si>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</si>
  <si>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</si>
  <si>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</si>
  <si>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</si>
  <si>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</si>
  <si>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</si>
  <si>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</si>
  <si>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</si>
  <si>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</si>
  <si>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</si>
  <si>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</si>
  <si>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</si>
  <si>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</si>
  <si>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</si>
  <si>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</si>
  <si>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</si>
  <si>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</si>
  <si>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</si>
  <si>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</si>
  <si>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</si>
  <si>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</si>
  <si>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</si>
  <si>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</si>
  <si>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</si>
  <si>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</si>
  <si>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</si>
  <si>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</si>
  <si>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</si>
  <si>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</si>
  <si>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</si>
  <si>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</si>
  <si>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</si>
  <si>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</si>
  <si>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</si>
  <si>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</si>
  <si>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</si>
  <si>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</si>
  <si>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</si>
  <si>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</si>
  <si>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</si>
  <si>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</si>
  <si>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</si>
  <si>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</si>
  <si>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</si>
  <si>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</si>
  <si>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</si>
  <si>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</si>
  <si>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</si>
  <si>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</si>
  <si>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</si>
  <si>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</si>
  <si>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</si>
  <si>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</si>
  <si>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3 de 3</t>
  </si>
  <si>
    <t>Elaboración del  documento</t>
  </si>
  <si>
    <t>1.0</t>
  </si>
  <si>
    <t>VALIDACIÓN DEL DOCUMENTO</t>
  </si>
  <si>
    <t xml:space="preserve">VIDA DIGNA </t>
  </si>
  <si>
    <t>DEPORTE Y RECREACIÓN</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</si>
  <si>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</si>
  <si>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</si>
  <si>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</si>
  <si>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</si>
  <si>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</si>
  <si>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</si>
  <si>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</si>
  <si>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</si>
  <si>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 xml:space="preserve">3. SALUD Y BIENESTAR </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</si>
  <si>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</si>
  <si>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</si>
  <si>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</si>
  <si>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</si>
  <si>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</si>
  <si>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</si>
  <si>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</si>
  <si>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</si>
  <si>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</si>
  <si>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Mantener cincuenta y cinco (55) y 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</si>
  <si>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</si>
  <si>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</si>
  <si>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</si>
  <si>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Vincular a sesenta y un mil (61.000) personas en los eventos y/o torneos del deporte social comunitario</t>
  </si>
  <si>
    <t>Vincular a ciento ochenta mil (180.000) participantes en las estrategias y/o actividades de recreación comunitaria</t>
  </si>
  <si>
    <t>Vincular a ciento veinte mil (120.000) participantes a las estrategias de actividad física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</si>
  <si>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</si>
  <si>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</si>
  <si>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</si>
  <si>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</si>
  <si>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</si>
  <si>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</si>
  <si>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</si>
  <si>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ATENCIÓN INTEGRAL PARA LAS COMUNIDADES INDÍGENAS</t>
  </si>
  <si>
    <t>N.D.</t>
  </si>
  <si>
    <t xml:space="preserve">Número </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</si>
  <si>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</si>
  <si>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</si>
  <si>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</si>
  <si>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</si>
  <si>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</si>
  <si>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</si>
  <si>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</si>
  <si>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</si>
  <si>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</si>
  <si>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</si>
  <si>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</si>
  <si>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</si>
  <si>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la escuela iniciativa y formación deportiva mantenidas y creados</t>
  </si>
  <si>
    <t>Número de núcleos de educación física extraescolar creados</t>
  </si>
  <si>
    <t xml:space="preserve">Número de participantes en los diferentes eventos y/o torneos de las instituciones educativas y las universidades
</t>
  </si>
  <si>
    <t xml:space="preserve">Número de instituciones
educativas participantes en
los Juegos Intercolegiado
</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</si>
  <si>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</si>
  <si>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</si>
  <si>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</si>
  <si>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</si>
  <si>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</si>
  <si>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</si>
  <si>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</si>
  <si>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X</t>
  </si>
  <si>
    <t xml:space="preserve">Incrementar a 37,8% el porcentaje de la población del Distrito de Indias que hace uso y disfrute de los escenarios deportivos y recreativos </t>
  </si>
  <si>
    <t>Incrementar a 73% el porcentaje de los escenarios deportivos mantenidos, adecuados y/o mejorados</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</si>
  <si>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</si>
  <si>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</si>
  <si>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</si>
  <si>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de la red de Infraestructura Deportiva del Distrito de  Cartagena de Indias</t>
  </si>
  <si>
    <t>Fortalecimiento del Sistema Deportivo Distrital mediante apoyos y/o estímulos a Deportistas y Organismos Deportivos para el fomento al Deporte de Alto Rendimiento en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</si>
  <si>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</si>
  <si>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</si>
  <si>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</si>
  <si>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</si>
  <si>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</si>
  <si>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</si>
  <si>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</si>
  <si>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</si>
  <si>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</si>
  <si>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Fortalecer la red de Infraestructura Deportiva del Distrito de Cartagena de Indias</t>
  </si>
  <si>
    <t>Fortalecer el Sistema Deportivo Distrital orientado al fomento del Alto Rendimiento</t>
  </si>
  <si>
    <t>Incrementar la oferta de actividades deportivas comunitarias con enfoque diferencial en Cartagena de Indias</t>
  </si>
  <si>
    <t>Incrementar los niveles de acceso a actividades recreativas y de aprovechamiento del tiempo libre con enfoque diferencial y comunitario en Cartagena de Indias.</t>
  </si>
  <si>
    <t>Disminuir el riesgo de enfermedades no transmisibles en la población de Cartagena de Indias</t>
  </si>
  <si>
    <t>Incrementar la valoración de Cartagena como destino de turismo deportivo y recreativo</t>
  </si>
  <si>
    <t>Fortalecer el desarrollo del deportivo formativo en los niños, niñas y adolescentes en el Distrito de Cartagena de Indias</t>
  </si>
  <si>
    <t>Entregar estímulos a deportistas convencionales y no convencionales</t>
  </si>
  <si>
    <t>Entregar estímulos a organismos deportivos</t>
  </si>
  <si>
    <t>Acompañar y asesorar a los organismos deportivos en el proceso de reconocimiento y estructuración</t>
  </si>
  <si>
    <t xml:space="preserve">Aumentar las acciones de conservación y renovación de los escenarios deportivos en el distrito. </t>
  </si>
  <si>
    <t xml:space="preserve">	Implementar acciones para el desarrollo de talentos deportivos locales 
</t>
  </si>
  <si>
    <t>Potenciar las capacidades de los organismos deportivos locales</t>
  </si>
  <si>
    <t xml:space="preserve">Fomentar el uso adecuado de los escenarios deportivos. 
</t>
  </si>
  <si>
    <t>Generar espacios de intercambio e integración alrededor del deporte formativo.</t>
  </si>
  <si>
    <t>Incentivar la práctica del deporte social comunitario</t>
  </si>
  <si>
    <t>Aumentar la oferta de actividades de recreación y aprovechamiento del tiempo libre con enfoque diferencial</t>
  </si>
  <si>
    <t>Incrementar la práctica de la actividad física</t>
  </si>
  <si>
    <t xml:space="preserve">Aumentar la oferta de eventos deportivos y recreativos de carácter regional, nacional e internacional con sede en la ciudad
	</t>
  </si>
  <si>
    <t>Diseñar e implementar una estrategia para la articulación entre las distintas etapas del desarrollo deportivo con miras al alto rendimiento.</t>
  </si>
  <si>
    <t>Implementar los niveles 1 y 2 de la Escuela: Iniciación y Formación Deportiva</t>
  </si>
  <si>
    <t>Divulgar las actividades y eventos desarrollados en el proyecto</t>
  </si>
  <si>
    <t>Adquirir los implementos e insumos requeridos para el desarrollo de la Escuela de Iniciación y Formación Deportiva</t>
  </si>
  <si>
    <t>Incrementar la oferta institucional de programas relacionados con el deporte estudiantil y universitario</t>
  </si>
  <si>
    <t>Realizar inscripción de las Instituciones Educativas en los Juegos Intercolegiados - Fase Distrital</t>
  </si>
  <si>
    <t>Divulgar las acciones y actividades desarrolladas en el proyecto</t>
  </si>
  <si>
    <t>Acompañar el desarrollo de las competencias de los juegos interuniversitarios</t>
  </si>
  <si>
    <t>Realizar las competencias deportivas de los Juegos Intercolegiados - Fase Distrital</t>
  </si>
  <si>
    <t>Acompañar la participación de equipos campeones en fases departamentales, regionales y/o nacionales</t>
  </si>
  <si>
    <t>Aumentar la oferta institucional en las etapas de formación deportiva</t>
  </si>
  <si>
    <t xml:space="preserve">Desarrollar la estrategia de juegos corregimentales </t>
  </si>
  <si>
    <t xml:space="preserve">Desarrollar la estrategia de juegos carcelarios y del sistema de responsabilidad penal para adolescentes </t>
  </si>
  <si>
    <t xml:space="preserve">Desarrollar la estrategia de juegos comunales </t>
  </si>
  <si>
    <t xml:space="preserve">	Desarrollar la estrategia de juegos de discapacidad </t>
  </si>
  <si>
    <t>Ampliar el conocimiento de los beneficios de la recreación con enfoque diferencial y comunitario</t>
  </si>
  <si>
    <t>Desarrollar campañas y talleres en técnicas de recreación en articulación con Instituciones Educativas</t>
  </si>
  <si>
    <t>Divulgar las acciones desarrolladas desde el proyecto</t>
  </si>
  <si>
    <t>Implementar la estrategia “Instituciones Activas”</t>
  </si>
  <si>
    <t>Implementar la estrategia "Recreación incluyente"</t>
  </si>
  <si>
    <t>Implementar la estrategia dirigida a primera infancia "Escuela Recreativa"</t>
  </si>
  <si>
    <t>Realizar actividades de recreación para el aprovechamiento del espacio público</t>
  </si>
  <si>
    <t>Implementar la estrategia "Cartagena Recreativa"</t>
  </si>
  <si>
    <t>Implementar la estrategia dirigida a Persona Mayor "Actívate Mayor"</t>
  </si>
  <si>
    <t>Implementar la estrategia dirigida a adolescentes y jóvenes "Campamentos Juveniles"</t>
  </si>
  <si>
    <t xml:space="preserve">Desarrollar campañas de sensibilización sobre temas relacionados con enfermedades no transmisibles y sus factores de riesgo. </t>
  </si>
  <si>
    <t xml:space="preserve">Divulgar las acciones de las estrategias y eventos realizadas </t>
  </si>
  <si>
    <t>Implementar acciones en el marco de la estrategia "Entornos Saludables"</t>
  </si>
  <si>
    <t>Implementar acciones en el marco de la estrategia "Intégrate por tu salud"</t>
  </si>
  <si>
    <t>Implementar acciones en el marco de la estrategia "Pasos Saludables"</t>
  </si>
  <si>
    <t>Implementar acciones en el marco de la estrategia "Vida Activa"</t>
  </si>
  <si>
    <t>Realizar eventos de concentración y promoción de actividad física</t>
  </si>
  <si>
    <t>Incentivar la participación, asistencia y/o disfrute de las personas en los eventos deportivos</t>
  </si>
  <si>
    <t>Fortalecer las actividades asociadas al deporte estudiantil, universitario y la educación física extraescolar en Cartagena de Indias</t>
  </si>
  <si>
    <t>Generar espacios para la práctica de la educación física extraescolar</t>
  </si>
  <si>
    <t>Crear y poner en funcionamiento los núcleos de educación física extraescolar</t>
  </si>
  <si>
    <t>Adquirir insumos e implementación para el funcionamiento de los núcleos de educación física extraescolar</t>
  </si>
  <si>
    <t>Reducir las barreras para la participación en actividades deportivas con enfoque diferencial</t>
  </si>
  <si>
    <t>Realizar torneos de integración con enfoque barrial y comunitario</t>
  </si>
  <si>
    <t xml:space="preserve">	Promocionar a nivel nacional e internacional las capacidades deportivas de Cartagena</t>
  </si>
  <si>
    <t>Incentivar la participación, asistencia y/o disfrute de las personas en los eventos recreativos</t>
  </si>
  <si>
    <t>Generar articulaciones y/o alianzas con entidades de enfoque turístico</t>
  </si>
  <si>
    <t>Divulgar las acciones desarrolladas en el proyecto</t>
  </si>
  <si>
    <t xml:space="preserve">Entregar mil ciento treinta y dos (1.132) incentivos y/o apoyos para deportistas convencionales y paralímpicos
</t>
  </si>
  <si>
    <t xml:space="preserve">Vincular a veintiocho mil (28.000) participantes en los eventos y/o torneos de las instituciones educativas y las universidades
</t>
  </si>
  <si>
    <t xml:space="preserve">Gestión de Valores para Resultados </t>
  </si>
  <si>
    <t>Gestión de Valores para Resultados</t>
  </si>
  <si>
    <t xml:space="preserve">Política de Servicio al Ciudadano </t>
  </si>
  <si>
    <t xml:space="preserve">Población del Distrito de Cartagena de Indias </t>
  </si>
  <si>
    <t xml:space="preserve">Atletas Convencionales y Paralimpicos, Organismos Deportivos </t>
  </si>
  <si>
    <t xml:space="preserve">Universidades, deportistas, entrenadores y otros miembros del sector deportivo y recreativo </t>
  </si>
  <si>
    <t xml:space="preserve">Población de 6 a 17 años </t>
  </si>
  <si>
    <t>Infancia , adolescencia y jóvenes</t>
  </si>
  <si>
    <t xml:space="preserve">Adolescentes, jóvenes y adultos </t>
  </si>
  <si>
    <t xml:space="preserve">Todos los ciclos vitales </t>
  </si>
  <si>
    <t>Desde los adolescentes hasta adulto mayor.</t>
  </si>
  <si>
    <t xml:space="preserve">Población del Distrito de Cartagena de Indias y turistas </t>
  </si>
  <si>
    <t xml:space="preserve">Población Afro </t>
  </si>
  <si>
    <t xml:space="preserve">Indígenas </t>
  </si>
  <si>
    <t xml:space="preserve"> NA</t>
  </si>
  <si>
    <t>NA</t>
  </si>
  <si>
    <t xml:space="preserve">SI </t>
  </si>
  <si>
    <t>Localidad Histórica y del Caribe Norte, Localidad de la Virgen y Turismo, Localidad Industrial de la Bahía.</t>
  </si>
  <si>
    <t>Localidad Industrial de la Bahía.</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</si>
  <si>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</si>
  <si>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02-06-01</t>
  </si>
  <si>
    <t xml:space="preserve">KAREN VELASQUEZ ROJANO </t>
  </si>
  <si>
    <t>02-06-02</t>
  </si>
  <si>
    <t>02-06-03</t>
  </si>
  <si>
    <t xml:space="preserve">GUSTAVO  GONZALEZ TARRA </t>
  </si>
  <si>
    <t xml:space="preserve">GUSTAVO GONZALEZ TARRA </t>
  </si>
  <si>
    <t>02-06-04</t>
  </si>
  <si>
    <t>02-06-05</t>
  </si>
  <si>
    <t>02-06-06</t>
  </si>
  <si>
    <t>02-06-07</t>
  </si>
  <si>
    <t>06-01-02</t>
  </si>
  <si>
    <t>06-02-01</t>
  </si>
  <si>
    <t>GIOVANNI CARRASQUILLA GUARDO</t>
  </si>
  <si>
    <t xml:space="preserve">ALBERTO OSORIO LEAL </t>
  </si>
  <si>
    <t xml:space="preserve"> GIOVANNI CARASQUILLA GUARDO</t>
  </si>
  <si>
    <t xml:space="preserve">No tener los recursos monetarios en el tiempo de la programación </t>
  </si>
  <si>
    <t>Cambio de rol en la administración de los escenarios</t>
  </si>
  <si>
    <t>Revisión y monitoreo de la normatividad asociada al rol de administración de escenarios.</t>
  </si>
  <si>
    <t xml:space="preserve">Plan financiero realizado y controlado </t>
  </si>
  <si>
    <t xml:space="preserve">No cumplir con plazos en procesos de contratación </t>
  </si>
  <si>
    <t>Incumplimiento de las actividades de seguimiento y verificación en los escenarios</t>
  </si>
  <si>
    <t xml:space="preserve">Contar con el personal idóneo para el seguimiento y verificación del estado de los escenarios. </t>
  </si>
  <si>
    <t>Poca participación de los beneficiados</t>
  </si>
  <si>
    <t>Realizar sesiones informativas sobre la actividad y mostrar beneficios de la misma; Incluir a otros participantes.</t>
  </si>
  <si>
    <t>Verificación de nuevas formas de incentivar al sistema de deporte asociado y competitivo</t>
  </si>
  <si>
    <t>Cambio de normatividad</t>
  </si>
  <si>
    <t xml:space="preserve">No verificación de las actividades de los organismos deportivos </t>
  </si>
  <si>
    <t>Bajo fortalecimiento del sistema de deporte asociado</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</si>
  <si>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</si>
  <si>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</si>
  <si>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</si>
  <si>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</si>
  <si>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</si>
  <si>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</si>
  <si>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</si>
  <si>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</si>
  <si>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</si>
  <si>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</si>
  <si>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Tráfico de influencias para la inscripción de niños sin  tener en cuenta los niveles de formación</t>
  </si>
  <si>
    <t>1.Evaluaciones periódicas a los profesores. 2.Capacitación en el proceso a los padres.
3.Seguimiento a los proceso"</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</si>
  <si>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</si>
  <si>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</si>
  <si>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</si>
  <si>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</si>
  <si>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</si>
  <si>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</si>
  <si>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</si>
  <si>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</si>
  <si>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</si>
  <si>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</si>
  <si>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</si>
  <si>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</si>
  <si>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</si>
  <si>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</si>
  <si>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 xml:space="preserve"> META PRODUCTO PDD 2024-2027</t>
  </si>
  <si>
    <t>Número de escenarios deportivos mantenidos, adecuados, y/o mejorados en el Distrito</t>
  </si>
  <si>
    <t>Número de participantes vinculados en los eventos y/o torneos de las instituciones educativas y las universidades</t>
  </si>
  <si>
    <t>Número de Instituciones Educativas vinculadas en los Juegos Intercolegiados</t>
  </si>
  <si>
    <t>Número de núcleos de la escuela iniciativa y formación deportiva mantenidos y creados</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</si>
  <si>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</si>
  <si>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</si>
  <si>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Número de personas participantes vinculadas en los eventos y/o torneos de deporte social comunitario</t>
  </si>
  <si>
    <t>Número de participantes vinculados en las estrategias y/o actividades de recreación comunitaria</t>
  </si>
  <si>
    <t>Generar espacios de socialización sobre temas relacionados con enfermedades no transmisibles y sus factores de riesgo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</si>
  <si>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</si>
  <si>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</si>
  <si>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</si>
  <si>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</si>
  <si>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Atraso en la contratación de bienes y servicios</t>
  </si>
  <si>
    <t>Realizar seguimiento y control al cronograma. Preparación y planeación de la disponibilidad de recursos para realizar la
contratación.</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</si>
  <si>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</si>
  <si>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</si>
  <si>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</si>
  <si>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</si>
  <si>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</si>
  <si>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</si>
  <si>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</si>
  <si>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</si>
  <si>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</si>
  <si>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</si>
  <si>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</si>
  <si>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Definir criterios y procedimientos  de inscripción y selección de participantes.</t>
  </si>
  <si>
    <t>Soborno y tráfico de influencias.</t>
  </si>
  <si>
    <t>Definir criterios y procedimientos  de inscripción y selección de participantes</t>
  </si>
  <si>
    <t>Privilegiar el tráfico de influencias para la selección de sede para eventos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</si>
  <si>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</si>
  <si>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</si>
  <si>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</si>
  <si>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</si>
  <si>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</si>
  <si>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</si>
  <si>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</si>
  <si>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Uso ilegitimo de la información en los procesos de seguimiento y evaluación</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</si>
  <si>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</si>
  <si>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</si>
  <si>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</si>
  <si>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</si>
  <si>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</si>
  <si>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</si>
  <si>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</si>
  <si>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</si>
  <si>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</si>
  <si>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</si>
  <si>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</si>
  <si>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</si>
  <si>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Aumentar la apropiación social de conocimiento sobre el sector deporte</t>
  </si>
  <si>
    <t>Número de personas vinculadas a procesos de apropiación social del conocimiento del sector deportivo</t>
  </si>
  <si>
    <t>Gestionar articulaciones y/o alianzas orientadas a la producción de conocimiento científico y fortalecimiento de la formación técnica, tecnóloga y profesional sobre deporte y recreación</t>
  </si>
  <si>
    <t>Producir y publicar documentos de investigación en memoria histórica asociados al sector deporte y recreación</t>
  </si>
  <si>
    <t>Implementar el semillero de investigación sobre el sector deporte</t>
  </si>
  <si>
    <t xml:space="preserve">Implementar el sistema de información distrital del sector deporte. </t>
  </si>
  <si>
    <t>Desarrollar espacios de intercambio de conocimiento sobre deporte, recreación, actividad física y aprovechamiento del
tiempo libre.</t>
  </si>
  <si>
    <t>Poca participación de los actores del sector deporte en la investigación</t>
  </si>
  <si>
    <t>Realizar campañas de socialización y concientización de la importancia del conocimiento científico - técnico en el sector deporte</t>
  </si>
  <si>
    <t xml:space="preserve">Verificación de las diferentes formas de contratación y plan completo de
trabajo </t>
  </si>
  <si>
    <t>Dificultad para la recolección de la información requerida para la investigación</t>
  </si>
  <si>
    <t>Establecer alternativas de recolección de información acorde con los temas de investigación. Incluir el acceso a bases de datos de información sobre el sector deporte.</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</si>
  <si>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</si>
  <si>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</si>
  <si>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Fortalecer los procesos de apropiación social del
conocimiento y ciencias aplicadas al sector Deporte y Recreación en Bolívar y Cartagena
de Indias.</t>
  </si>
  <si>
    <t>Cancha construida y dotada</t>
  </si>
  <si>
    <t>Parque recreo-deportivo construido y dotado</t>
  </si>
  <si>
    <t>Cancha mejorada</t>
  </si>
  <si>
    <t>Cancha mantenidas</t>
  </si>
  <si>
    <t>Estímulos entregados</t>
  </si>
  <si>
    <t xml:space="preserve">Organismos deportivos asistidos </t>
  </si>
  <si>
    <t>Capacitaciones realizadas</t>
  </si>
  <si>
    <t>Documentos de investigación realizados</t>
  </si>
  <si>
    <t>Niños, niñas, adolescentes y jóvenes inscritos en Escuelas Deportivas</t>
  </si>
  <si>
    <t>Escuelas deportivas implementadas</t>
  </si>
  <si>
    <t>Instituciones educativas vinculadas al programa Supérate-Intercolegiados</t>
  </si>
  <si>
    <t>Personas que acceden a servicios deportivos, recreativos y de actividad física</t>
  </si>
  <si>
    <t>Eventos deportivos comunitarios realizados</t>
  </si>
  <si>
    <t>Personas beneficiadas</t>
  </si>
  <si>
    <t>Actualizar los manuales operativos y administrativos para el uso de los escenarios deportivos</t>
  </si>
  <si>
    <t xml:space="preserve">Realizar jornadas de sensibilización sobre el uso adecuado de los escenarios deportivos </t>
  </si>
  <si>
    <t>Administrar el uso y préstamo de escenarios deportivos a la comunidad</t>
  </si>
  <si>
    <t>Realizar mantenimiento de los escenarios deportivos existentes</t>
  </si>
  <si>
    <t>Realizar verificación del funcionamiento, servicios y estado de los escenarios deportivos</t>
  </si>
  <si>
    <t>Ejecutar obras de construcción de escenarios deportivos</t>
  </si>
  <si>
    <t>Realizar todas las gestiones y trámites requeridos para la verificación y legalización de lotes</t>
  </si>
  <si>
    <t xml:space="preserve">Reconstruir escenarios deportivos deteriorados </t>
  </si>
  <si>
    <t>Construir el complejo deportivo nuevo Chambacú</t>
  </si>
  <si>
    <t>Gestión de la Infraestructura</t>
  </si>
  <si>
    <t>N/A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</si>
  <si>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</si>
  <si>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</si>
  <si>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</si>
  <si>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Trimestral</t>
  </si>
  <si>
    <t xml:space="preserve"> Eficacia</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</si>
  <si>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</si>
  <si>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</si>
  <si>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</si>
  <si>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</si>
  <si>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</si>
  <si>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</si>
  <si>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</si>
  <si>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</si>
  <si>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Supervisor de Infraestructura y supervisor de obra  cada que se presente una factura el contratista debe presentar un informe de ejecución y  dejara constancia en físico y digital</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</si>
  <si>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</si>
  <si>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</si>
  <si>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</si>
  <si>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</si>
  <si>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</si>
  <si>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</si>
  <si>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</si>
  <si>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</si>
  <si>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</si>
  <si>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</si>
  <si>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</si>
  <si>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</si>
  <si>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</si>
  <si>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</si>
  <si>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</si>
  <si>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</si>
  <si>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</si>
  <si>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</si>
  <si>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</si>
  <si>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</si>
  <si>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</si>
  <si>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</si>
  <si>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</si>
  <si>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</si>
  <si>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</si>
  <si>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</si>
  <si>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</si>
  <si>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</si>
  <si>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</si>
  <si>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</si>
  <si>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</si>
  <si>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</si>
  <si>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</si>
  <si>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</si>
  <si>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</si>
  <si>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</si>
  <si>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</si>
  <si>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</si>
  <si>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</si>
  <si>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</si>
  <si>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</si>
  <si>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</si>
  <si>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</si>
  <si>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</si>
  <si>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</si>
  <si>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</si>
  <si>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</si>
  <si>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</si>
  <si>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</si>
  <si>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</si>
  <si>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</si>
  <si>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</si>
  <si>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</si>
  <si>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</si>
  <si>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</si>
  <si>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</si>
  <si>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</si>
  <si>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</si>
  <si>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</si>
  <si>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1. Uso ilegitimo de la información en los procesos de inscripción.</t>
  </si>
  <si>
    <t>1. Definir criterios y procedimientos  de inscripción y selección de participantes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</si>
  <si>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</si>
  <si>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</si>
  <si>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</si>
  <si>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</si>
  <si>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</si>
  <si>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</si>
  <si>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</si>
  <si>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</si>
  <si>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</si>
  <si>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</si>
  <si>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</si>
  <si>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</si>
  <si>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10.	Falsedad de los documentos presentados</t>
  </si>
  <si>
    <t>1. Verificar los procesos, 2. Contar con bases de datos de las ligas</t>
  </si>
  <si>
    <t>11.	Tráfico de influencias para la decisión de apoyo de un evento en particular</t>
  </si>
  <si>
    <t>1. Definir criterios de selección, 2. Verificación con los organismos del deporte,3. Crear procedimientos para la escogencia de eventos</t>
  </si>
  <si>
    <t xml:space="preserve">Plan Anual de Adquisciones </t>
  </si>
  <si>
    <t xml:space="preserve">Probablemente se haga una contratación que no cumpla con la que se esta solicitando en el pliego.        </t>
  </si>
  <si>
    <t>Contratación de prestación de servicios profesionales y/o de apoyo a la gestión del equipo de trabajo que ejecutará las actividades del proyecto</t>
  </si>
  <si>
    <t>Adquisición de Agroquimicos</t>
  </si>
  <si>
    <t>Servicio de transporte terrestre</t>
  </si>
  <si>
    <t>Contratatación de prestación de servicios profesionales y/o de apoyo a la gestión del equipo de trabajo que ejecutará las actividades del proyecto</t>
  </si>
  <si>
    <t>Apoyo a Deportistas</t>
  </si>
  <si>
    <t>Logistica para trabajo de campo</t>
  </si>
  <si>
    <t>Prestacion de servicio de impresión y proceso editorial de cartilla</t>
  </si>
  <si>
    <t>Adquisición de equipos</t>
  </si>
  <si>
    <t>Servicio de Transporte</t>
  </si>
  <si>
    <t>Suministrar los materiales e insumos, implementación deportiva y uniforme requeridos para el desarrollo de los juegos intercolegiados</t>
  </si>
  <si>
    <t>Realizar eventos deportivos de carácter regional, nacional e internacional en la ciudad</t>
  </si>
  <si>
    <t>Adquisición de Materiales de Ferreteria</t>
  </si>
  <si>
    <t>Promover la participación y el desarrollo integral de los Pueblos Indígenas en Cartagena a través del deporte y la recreación, rescatando y preservando sus tradiciones culturales</t>
  </si>
  <si>
    <t>Sensibilizar a la comunidad sobre la importancia del deporte y la recreación en la salud y el bienestar de los Pueblos Indígenas</t>
  </si>
  <si>
    <t>Servicio de organización de eventos deportivos comunitarios</t>
  </si>
  <si>
    <t>Fomentar la participación y el desarrollo de las comunidades afrodescendientes en Cartagena a través del deporte y la recreación, promoviendo la inclusión y la identidad cultural.</t>
  </si>
  <si>
    <t>Aumentar los programas de inclusión y promoción del deporte específicamente dirigidos a la comunidad afrodescendiente</t>
  </si>
  <si>
    <t xml:space="preserve"> Servicio de organización de eventos deportivos comunitarios</t>
  </si>
  <si>
    <t>06-01-03</t>
  </si>
  <si>
    <t>5 escenarios construidos en 2023 Fuente: Instituto de Deporte y Recreación, 2023</t>
  </si>
  <si>
    <t>0
Fuente: Instituto de Deporte y Recreación, 2023</t>
  </si>
  <si>
    <t>12 escenarios
deportivos reconstruidos a corte 2023
Fuente: Instituto de Deporte y Recreación, 2023</t>
  </si>
  <si>
    <t xml:space="preserve">19.231
personas participantes de procesos de apropiación
social del conocimiento del sector deportivo en el
cuatrienio 2020-2023
Fuente: Instituto de Deporte y Recreación,
2023 </t>
  </si>
  <si>
    <t>6.613
niños, niñas, adolescentes y jóvenes  inscritos
en la escuela de iniciación y formación deportiva en 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</si>
  <si>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</si>
  <si>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</si>
  <si>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116                                                                                                                                                                                                                                                                       eventos deportivos carácter regional, nacional e internacional
impulsados en el cuatrienio 2020-2023
Fuente: Instituto de Deporte y Recreación, 2023</t>
  </si>
  <si>
    <t>87                                                                                                                                                                                                                                           eventos recreativos de carácter regional, nacional e internacional
impulsados en  el cuatrienio 2020-2023                                                                                                                                                                               Fuente: Instituto de Deporte y Recreación, 2023</t>
  </si>
  <si>
    <t>1                                                                                                                                                                                                                                                torneo de juegos ancestrales desarrollado en 2023
Fuente:Instituto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</si>
  <si>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</si>
  <si>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</si>
  <si>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</si>
  <si>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10
documentos de investigación de memoria histórica del
deporte cartagenero y bolivarense  publicadas en el cuatrienio
2020-2023                               Fuente: Instituto de Deporte y Recreación,
2023                               </t>
  </si>
  <si>
    <t>55                                                                                                                                                                                                                                                    núcleos de la escuela iniciativa y formación deportiva creados en el cuatrienio 2020-2023
Fuente: Instituto de Deporte y Recreación
, 2023</t>
  </si>
  <si>
    <t>24.893
participantes vinculados en los eventos y/o torneos de las instituciónes educativas y las universidades en el
cuatrienio 2020-2023
Fuente: Instituto de Deporte y Recreación
,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</si>
  <si>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</si>
  <si>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</si>
  <si>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50.000
personas vinculadas a los eventos deportivos de carácter regional, 
nacional e internacional en el cuatrienio 2020-2023 .                                                                                                                                                          Fuente: Instituto de Deporte y Recreación, 2023</t>
  </si>
  <si>
    <t>59.467
personas vinculadas a los eventos recreativos de carácter regional, nacional e internacional en el cuatrienio 2020-2023
Fuente:Instituto de Deporte y Recreación,2023</t>
  </si>
  <si>
    <t>PRIMERA INFANCIA, INFANCIA Y ADOLESCENCIA</t>
  </si>
  <si>
    <t xml:space="preserve">Escenario deportivo nuevo construido </t>
  </si>
  <si>
    <t xml:space="preserve">Escenarios deportivos reconstruidos </t>
  </si>
  <si>
    <t>Escenarios deportivos mantenidos, adecuados y mejorados .</t>
  </si>
  <si>
    <t>Niños, niñas, adolescentes y jóvenes inscristos en la EIFD</t>
  </si>
  <si>
    <t>Personas participantes en los eventos y/o torneos del deporte social comunitario</t>
  </si>
  <si>
    <t xml:space="preserve">Personas vinculadas  a los eventos deportivos de carácter regional, nacional e internacional </t>
  </si>
  <si>
    <t xml:space="preserve">Personas vinculados  a los eventos recreativos de carácter regional, nacional e internacional </t>
  </si>
  <si>
    <t>Torneos  intercomunitarios de juegos tradicionales, concertado con los Consejos Comunitarios (bate de tapita, bola de trapo, trompo, dominó, entre otros) desarrollado.</t>
  </si>
  <si>
    <t>Torneos de competencias del mar concertado con los Consejos Comunitarios (canotaje, competencia de atarrayas, pesca, tejidos, entre otros)desarrollados.</t>
  </si>
  <si>
    <t>Torneos de juegos ancestrales y convencionales indígenas en los seis Cabildos Indígenas asentados en el Distrito desarrollados</t>
  </si>
  <si>
    <t>REPORTE ACTIVIDAD DEL PROYECTO EJECUTADO AÑO 2024</t>
  </si>
  <si>
    <t>PROGRAMACIÓN NUMÉRICA DE LA ACTIVIDAD PROYECTO (VIGENCIA 2025)</t>
  </si>
  <si>
    <t>ICA 3%, TASA PRODEPORTE, SGP -DEPORTE,RF SGP- DEPORTE, RF SGP-DEPORTE IDER</t>
  </si>
  <si>
    <t>ICA 3%, SGP-DEPORTES</t>
  </si>
  <si>
    <t xml:space="preserve">ICA 3%,  TASA PRODEPORTE, PARTICIPACIONES DISTITNTAS DEL SGP(IMPUESTO AL CONSUMO DE CIGARILLOS Y TABACO), SGP-DEPORTE, RF IDER </t>
  </si>
  <si>
    <t>ICA 3%, TASA PRODEPORTE, SGP DEPORTE</t>
  </si>
  <si>
    <t xml:space="preserve">ICA 3%, TASA PRODEPORTE, SGP DEPORTE </t>
  </si>
  <si>
    <t>ICA 3%, TASA PRODEPORTE, SGP-DEPORTE</t>
  </si>
  <si>
    <t>ICA 3%, TASA PRODEPORTE, SGP-DEPORTES</t>
  </si>
  <si>
    <t>ICLD, RF IDER</t>
  </si>
  <si>
    <t xml:space="preserve"> ICLD</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</si>
  <si>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</si>
  <si>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</si>
  <si>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</si>
  <si>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Compilado de torneos desarrollados</t>
  </si>
  <si>
    <t>Organización, logística, y ejecución de los juegos tendiente a la promoción, desarrollo y participación de la comunidad afrocolombiana</t>
  </si>
  <si>
    <t>Desarrollar torneos de juegos ancestrales y convencionales</t>
  </si>
  <si>
    <t>Vincular a los participantes en actividades de práctica deportiva y recreativa</t>
  </si>
  <si>
    <t>Organización, logística, y ejecución de los juegos tendiente a la promoción, desarrollo y participación de la comunidad indigena</t>
  </si>
  <si>
    <t>Eventos deportivos y recreativos de carácter regional, nacional e internaciona impulsados.</t>
  </si>
  <si>
    <t>Material de divulgación generado</t>
  </si>
  <si>
    <t xml:space="preserve">Organización, logística, y ejecución de eventos deportivos en la ciudad que impulsen el turismo deportivo. </t>
  </si>
  <si>
    <t>Generacion de convenios y/o alianzas con entidades de enfoque turístico</t>
  </si>
  <si>
    <t>Implementación de estrategias de comunicación para la divulgación institucional, mediante la promoción y difusión de los planes, programas y contenidos de las actividades desarrolladas en el marco de los proyectos de inversión 2025</t>
  </si>
  <si>
    <t>Organización, logística, y ejecución de torneos y/o festivales deportivos</t>
  </si>
  <si>
    <t xml:space="preserve">	Realizar jornadas de activación deportiva </t>
  </si>
  <si>
    <t>Organización, logística, y ejecución de los juegos de discapacidad</t>
  </si>
  <si>
    <t>Servicio de transporte</t>
  </si>
  <si>
    <t xml:space="preserve">Organización, logística, y ejecución de los juegos carcelarios y del sistema de responsabilidad penal para adolescentes </t>
  </si>
  <si>
    <t>Organización, logística, y ejecución de los juegos deportivos distritales comunales 2025</t>
  </si>
  <si>
    <t>Organización, logística, y ejecución de los juegos corregimentales 2025</t>
  </si>
  <si>
    <t>Estrategia diseñada</t>
  </si>
  <si>
    <t>Organización, logística, y ejecución de encuentros deportivos entre los organismos deportivos y deportistas para la promocion del deporte</t>
  </si>
  <si>
    <t>Resolución</t>
  </si>
  <si>
    <t>Asesorías y acompañamientos registrados</t>
  </si>
  <si>
    <t>Apoyo a Organismos deportivos</t>
  </si>
  <si>
    <t>SGP
Recursos Propios</t>
  </si>
  <si>
    <t>Aunar esfuerzos técnicos, administrativos y financieros para el fortalecimiento del conocimiento y ciencias aplicadas al deporte y la recreación en distrito de Cartagena a través de redes de apoyo nacionales e internacionales que promuevan la importancia de generar conocimientos e incentiven la investigación en la ciencia del deporte por medio de la realización de un congreso, un foro y encuentro científico.</t>
  </si>
  <si>
    <t>SGP 
Recursos Propios</t>
  </si>
  <si>
    <t xml:space="preserve">Realizar acompañamiento y seguimiento en la formulación e implementación de la Política Pública del Sector Deporte y Recreación. </t>
  </si>
  <si>
    <t>Logística para el desarrollo del semillero de investigacion</t>
  </si>
  <si>
    <t>Política Publica formulada e implementada.</t>
  </si>
  <si>
    <t>Suministrar los materiales implementación para el funcionamiento de los núcleos de educación física extraescolar</t>
  </si>
  <si>
    <t>Organización, logística, y ejecución de los juegos intercolegiados 2025 a desarrollarse en el distrito Turístico y Cultural de Cartagena</t>
  </si>
  <si>
    <t xml:space="preserve">Adquisición de uniformes e implementación deportiva </t>
  </si>
  <si>
    <t xml:space="preserve">Contratar el servicio de transporte y refrigerio para los niños, niñas y adolscentes de la EIFD en cumplimiento de lo reglamentado en la Tasa ProDeeporte.  </t>
  </si>
  <si>
    <t>Implementar los niveles 3 y 4 de la Escuela: Énfasis y Perfeccionameinto Deportivo</t>
  </si>
  <si>
    <t>Realizar acompañamiento interdisciplinar a los niños, niñas, adolescentes y padres pertenecientes a la Escuela.</t>
  </si>
  <si>
    <t>Realizar actividades de integración deportivas y culturales para la participación de los integrantes de la Escuela.</t>
  </si>
  <si>
    <t>Realizar actividades de intercambios, festivales y/o olimpiadas.</t>
  </si>
  <si>
    <t>Actividades de integración deportivas y culturales realizadas</t>
  </si>
  <si>
    <t>Actividades de intercambio, Festivales y/o olimpiadas realizadas</t>
  </si>
  <si>
    <t>Realizacion de actividades de integración deportivas y culturales para la participación de los integrantes de la Escuela.</t>
  </si>
  <si>
    <t>Realizacion de intercambios, festivales y/o olimpiadas.</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</si>
  <si>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</si>
  <si>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</si>
  <si>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</si>
  <si>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Servicio de Logística para la Implementación de la Transformación de Hábitos a Través del Fomento de la Actividad Física y estilos de Vida Saludable en el Distrito de Cartagena.</t>
  </si>
  <si>
    <t>Cartagena es violeta</t>
  </si>
  <si>
    <t>Caminata Rosa</t>
  </si>
  <si>
    <t>Suministro de Vallas, Planta Electrica y Materiales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</si>
  <si>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</si>
  <si>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núcleos de educación física extraescolar creados</t>
  </si>
  <si>
    <t>Complejo deportivo nuevo Chambacú construido</t>
  </si>
  <si>
    <t>Ejecucion obras de reconstrucción de escenarios deportivos deteriorados</t>
  </si>
  <si>
    <t>Ejecucion obras de construcción de escenarios deportivos</t>
  </si>
  <si>
    <t>Adquisicion de polizas</t>
  </si>
  <si>
    <t>Servicios publicos</t>
  </si>
  <si>
    <t>Vigilancia</t>
  </si>
  <si>
    <t>Adquisicion de equipos para mantenimiento</t>
  </si>
  <si>
    <t>Adquisicion de equipos para trabajo en altura</t>
  </si>
  <si>
    <t>Adquisición de insumos para Aseo</t>
  </si>
  <si>
    <t>Adquisición de Químicos</t>
  </si>
  <si>
    <t>Mantenimiento electrico de Escenarios Deportivos</t>
  </si>
  <si>
    <t xml:space="preserve">Servicios para mantenimiento de equipos electricos y mecanicos </t>
  </si>
  <si>
    <t>Obras de mantenimiento de los escenarios deportivos</t>
  </si>
  <si>
    <t>Mantenimiento, suministro y fabricación de protecciones de seguridad en zonas de competencia para escenarios deportivos.</t>
  </si>
  <si>
    <t>Servicios de conservacion, mejoramientos locativos</t>
  </si>
  <si>
    <t>Sevicios para mantenimientos de equipos de corte</t>
  </si>
  <si>
    <t>Suministro de Lubricantes</t>
  </si>
  <si>
    <t>Suministro de Combustible</t>
  </si>
  <si>
    <t>Mobiliario deportivo</t>
  </si>
  <si>
    <t>Avance Programa Fortalecimiento y Mantenimiento de la red de infraestructura deportiva del Distrito</t>
  </si>
  <si>
    <t>Avance Programa Fomento al deporte de alto rendimiento</t>
  </si>
  <si>
    <t>Avance Programa Fortalecimiento del capital humano a atraves de las ciencias aplicadas al deporte y la recreacion</t>
  </si>
  <si>
    <t>Avance Programa Fortalecimiento del deporte formativo estudiantil y la educacion fisica extraescolar</t>
  </si>
  <si>
    <t>Avance Programa promocion de habitos y estilos de vida saludable,recreacion,actividad fisica y el aprovechamiento del tiempo libre en el distrito de cartagena</t>
  </si>
  <si>
    <t xml:space="preserve">Avance Programa Cartagena ciudad destino de turismo deportivo </t>
  </si>
  <si>
    <t>Avance Programa desarrollo humano bienestar social de las comunidades negras,afrocolombianas,raizales y palenqueras</t>
  </si>
  <si>
    <t>Avance Programa atencion integral para las comunidades indigenas</t>
  </si>
  <si>
    <t>Avance Programa Fortalecimiento del deporte social comunitario,avanzar en nuestro territorio</t>
  </si>
  <si>
    <t xml:space="preserve">1.	El principal retraso para el avance de la meta del proyecto tiene que ver con la oportunidad de contratación del personal requerido para la ejecución del proyecto  el desarrollo de las actividades programadas, limitando la operatividad y el cumplimiento de los objetivos trazados.
2.	Aun no se establecen los convenios con los operadores para la ejecución de los Juegos A Las Comunidades Negras, Afrocolombiana, Raizales Y Palenquera En Cartagena De Indias, se logra establecer algunas estrategias y soluciones que permita el alcance de esta meta, planteando lo siguiente: 
3.	Definir claramente los términos y responsabilidades del convenio
4.	Monitorear y hacer seguimiento continuo a los procesos de contratación para la ejecución de los Juegos Afro
5.	Articular entre las oficinas encargadas de los procesos contractuales con los operadores (financiera y jurídica) con la oficina de deporte, de acuerdo a los calendarios de ejecución de los programas para el cumplimiento de estos a las fechas ejecución establecidas con la comunidad.
</t>
  </si>
  <si>
    <t>•	21 de enero 2025, Invitación por parte de la oficina de asuntos étnicos de la secretaria de interior de la alcaldía del distrito para socializar y entregar las metas del capítulo Étnico del Plan de Desarrollo con el Instituto, resultados alcanzados y los pasos a seguir durante el presente año.
•	5 de marzo 2025, Se realizó visita de la autoridad indígena Álvaro Bula del Cabildo Kainzhabz zenu de Bayunca, para socializar la logística de los Juegos del presente año, inauguración, actividades previas a los Juegos Indígenas, actividades ancestrales participantes , además se socializo la información sobre el proceso de inscripción a los juegos , así mismo se realizaron socializaciones y reuniones para dar a conocer los sistemas de competencias y los referentes técnicos de estos, se construyó el plan de trabajo y cronogramas de actividades en los diferentes cabildos.
SOCIALIZACIONES</t>
  </si>
  <si>
    <t>Se ha venido realizando acompañamiento y seguimiento en la formulación e
implementación de la Política Pública del Sector Deporte y Recreación. En trabajo
articulado con planeación se participa en la organización de los diálogos
participativos previo a la rendición de cuentas del 2024. Proponer y realizar estudios e investigaciones con carácter artículos
científico-históricos asociados al sector deporte.
Se trabaja en la elaboración de la crónica histórico - deportiva sobre el desarrollo
de las ciencias aplicadas en el sector deporte de la ciudad de Cartagena.
6. Publicar</t>
  </si>
  <si>
    <t xml:space="preserve">Se iniciarán  la construcción de nuevos escenarios deportivos en el segundo semestre del año 2025. </t>
  </si>
  <si>
    <t xml:space="preserve">La Secretaría de Infraestructura señala que uno de los avances más significativos es la fase final del canal perimetral, que se empalmará con el box culvert, una estructura considerada clave para el drenaje de la zona.
“Actualmente, el canal perimetral se encuentra en su última fase de trabajo para empalmar con el box culvert, una estructura esencial para garantizar el adecuado drenaje en la zona”, indicaron de la entidad distrital, resaltando que este elemento es fundamental para evitar inundaciones y garantizar la estabilidad del terreno.2.                                                        En cuanto a los accesos, se han registrado progresos en tres puntos principales:
En el acceso principal se está fundiendo la placa entrepiso.                                                                                                                                                                 En el acceso dos, denominado “manglares”, todas las columnas han sido completadas.
En el acceso tres, las estructuras verticales han sido fundidas, consolidando la base del proyecto.                                                                                                                                                                                                                                                                                                            Simultáneamente, el box culvert se encuentra en proceso de construcción con la fundida de su placa superior, mientras se realizan trabajos de relleno, compactación y cimentación en la zona donde se instalarán las baterías sanitarias y los camerinos. Además, informaron que las escalinatas del complejo ya tienen su trazado definido, con el suelo mejorado y listo para la siguiente fase de construcción.  Tras finalizar la fase de cimentación, la siguiente etapa contempla la construcción de canchas deportivas, senderos ecológicos, ciclorrutas, zonas de recreación, entre muchos otros espacios para niños, jóvenes y adultos.
Dentro de las instalaciones se incluirán espacios para la práctica de fútbol, sóftbol, baloncesto y voleibol, así como áreas para deportes extremos como un skate park, construcción de un parque para mascotas, plazoletas y enlaces peatonales que lo conectarán con el Centro Histórico.  El diseño del complejo también prevé plazoletas y enlaces peatonales para facilitar la conexión con el Centro Histórico. Con este enfoque, se busca que el Nuevo Chambacú se convierta en un referente para la actividad deportiva y de esparcimiento en Cartagena.                                                                           </t>
  </si>
  <si>
    <t xml:space="preserve">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50% </t>
  </si>
  <si>
    <t>A la fecha de este informe, se han realizado 83 acciones de mantenimiento preventivo recurrente a Escenarios Deportivos, por lo menos una vez en lo que va corrido del año, de Enero a Marzo 2025.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	Con relación a la autorización permisos para el uso temporal y/o permanente de los escenarios deportivos la población que se busca impactar por el uso y disfrute de los escenarios deportivos y recreativos, hemos logrado generar 252 permisos expedidos y así impactar a 4.984 personas.• Para el buen funcionamiento de los escenarios deportivos es necesario contar con los servicios públicos. A la fecha se encuentran al día al mes de Febrero 2025.</t>
  </si>
  <si>
    <t xml:space="preserve">Para este periodo se inició  con el proceso de inscripción en los núcleos en procesos de los niveles de iniciación y  formación, para un total de 1239 NNA beneficiarios de las 3 localidades ( Loc1= 430- Loc2=435 – Loc3 = 374) al corte del mes, luego de abrir de forma tardía la plataforma de inscripciones y con ello la apertura de núcleos, por lo que se tiene proyectado como estrategia, se abrir plataforma para inscribir niños y jóvenes con el proceso de énfasis y perfeccionamiento deportivo, esperando incrementar de forma importante la vinculación de los NNA a la EIFD. </t>
  </si>
  <si>
    <t>A corte este periodo se encuentran activos 51 núcleos de Iniciación y Formación Deportiva, en las tres localidades del Distrito de Cartagena. Los cuañles se encuentran Localidad 1:  13, Localidad 2: 23  y Localidad 3: 15</t>
  </si>
  <si>
    <t>Se establecio el cronograma de trabajo con las intituciones educativas donde se desarrollaran los dos (2) núcleos de Educaciín Física extraescolar.en el Distrito de Cartagena de Indias, los cuales se esperan que entren en funcionaiento en el segundo semestre del 2025.</t>
  </si>
  <si>
    <r>
      <t xml:space="preserve"> A corte de 20 de febrero reportamos una magnitud ejecutada de 1.770 personas participantes vinculados en las estrategias y/o actividades de recreación comunitaria.</t>
    </r>
    <r>
      <rPr>
        <b/>
        <u/>
        <sz val="11"/>
        <color theme="1"/>
        <rFont val="Arial"/>
        <family val="2"/>
      </rPr>
      <t>RECREACIÓN INCLUYENTE:</t>
    </r>
    <r>
      <rPr>
        <b/>
        <sz val="11"/>
        <color theme="1"/>
        <rFont val="Arial"/>
        <family val="2"/>
      </rPr>
      <t xml:space="preserve"> </t>
    </r>
    <r>
      <rPr>
        <sz val="11"/>
        <color theme="1"/>
        <rFont val="Arial"/>
        <family val="2"/>
      </rPr>
      <t>Se da cumplimento a la estrategia en este periodo, adelantando (4) acciones.
Magnitud Ejecutada Acumulada en este periodo (66) Beneficiados.  Pasamos de (121) personas beneficiadas a (187).</t>
    </r>
    <r>
      <rPr>
        <b/>
        <sz val="11"/>
        <color theme="1"/>
        <rFont val="Arial"/>
        <family val="2"/>
      </rPr>
      <t xml:space="preserve"> INSTITUCIONES ACTIVAS </t>
    </r>
    <r>
      <rPr>
        <sz val="11"/>
        <color theme="1"/>
        <rFont val="Arial"/>
        <family val="2"/>
      </rPr>
      <t>: Se da cumplimento a la estrategia en este periodo, adelantando (5) acciones.Magnitud Ejecutada Acumulada en este periodo (436) 
Pasamos de (998) personas beneficiadas a (1434).</t>
    </r>
    <r>
      <rPr>
        <b/>
        <sz val="11"/>
        <color theme="1"/>
        <rFont val="Arial"/>
        <family val="2"/>
      </rPr>
      <t xml:space="preserve"> ACTIVATE MAYOR </t>
    </r>
    <r>
      <rPr>
        <sz val="11"/>
        <color theme="1"/>
        <rFont val="Arial"/>
        <family val="2"/>
      </rPr>
      <t xml:space="preserve">: Se da cumplimento a la estrategia en este periodo, adelantando (3) acciones.
Magnitud Ejecutada Acumulada en este periodo (62), </t>
    </r>
    <r>
      <rPr>
        <b/>
        <sz val="11"/>
        <color theme="1"/>
        <rFont val="Arial"/>
        <family val="2"/>
      </rPr>
      <t xml:space="preserve">ESCUELA RECREATIVA: </t>
    </r>
    <r>
      <rPr>
        <sz val="11"/>
        <color theme="1"/>
        <rFont val="Arial"/>
        <family val="2"/>
      </rPr>
      <t xml:space="preserve">Se da cumplimento a la estrategia en este periodo, adelantando (7) acciones.
Magnitud Ejecutada Acumulada en este periodo (682), Pasamos de (270) personas beneficiadas a (952). </t>
    </r>
    <r>
      <rPr>
        <b/>
        <sz val="11"/>
        <color theme="1"/>
        <rFont val="Arial"/>
        <family val="2"/>
      </rPr>
      <t>APROVECHAMIENTO DEL ESPACUI PÚBLICO</t>
    </r>
    <r>
      <rPr>
        <sz val="11"/>
        <color theme="1"/>
        <rFont val="Arial"/>
        <family val="2"/>
      </rPr>
      <t xml:space="preserve">:Se da cumplimento a la estrategia en este periodo, adelantando (16) acciones. Magnitud Ejecutada Acumulada en este periodo (1276) Beneficiados, Pasamos de (381) personas beneficiadas a (1657),  
</t>
    </r>
  </si>
  <si>
    <r>
      <rPr>
        <b/>
        <sz val="11"/>
        <color theme="1"/>
        <rFont val="Arial"/>
        <family val="2"/>
      </rPr>
      <t xml:space="preserve">ENTORNOS SALUDABLES: </t>
    </r>
    <r>
      <rPr>
        <sz val="11"/>
        <color theme="1"/>
        <rFont val="Arial"/>
        <family val="2"/>
      </rPr>
      <t xml:space="preserve">Se da cumplimento a la estrategia en este periodo, adelantando (15) acciones. Magnitud Ejecutada en este periodo es de (936), pasamos de (936) a (1.862) personas beneficiadas. </t>
    </r>
    <r>
      <rPr>
        <b/>
        <sz val="11"/>
        <color theme="1"/>
        <rFont val="Arial"/>
        <family val="2"/>
      </rPr>
      <t xml:space="preserve">INTEGRATE POR TU SALUD: </t>
    </r>
    <r>
      <rPr>
        <sz val="11"/>
        <color theme="1"/>
        <rFont val="Arial"/>
        <family val="2"/>
      </rPr>
      <t xml:space="preserve">Se da cumplimento a la estrategia en este periodo, adelantando (3) Acciones.  Magnitud Ejecutada en este periodo (36) se pasa de (28) a (64) personas beneficiadas, </t>
    </r>
    <r>
      <rPr>
        <b/>
        <sz val="11"/>
        <color theme="1"/>
        <rFont val="Arial"/>
        <family val="2"/>
      </rPr>
      <t>PASOS SALUDABLES:</t>
    </r>
    <r>
      <rPr>
        <sz val="11"/>
        <color theme="1"/>
        <rFont val="Arial"/>
        <family val="2"/>
      </rPr>
      <t xml:space="preserve"> Se da cumplimento a la estrategia en este periodo, adelantando (3) Acciones. Magnitud Ejecutada Acumulada en este periodo (68) se pasa de (820) a (888) personas beneficiadas.</t>
    </r>
    <r>
      <rPr>
        <b/>
        <sz val="11"/>
        <color theme="1"/>
        <rFont val="Arial"/>
        <family val="2"/>
      </rPr>
      <t>VIDA</t>
    </r>
    <r>
      <rPr>
        <sz val="11"/>
        <color theme="1"/>
        <rFont val="Arial"/>
        <family val="2"/>
      </rPr>
      <t xml:space="preserve"> </t>
    </r>
    <r>
      <rPr>
        <b/>
        <sz val="11"/>
        <color theme="1"/>
        <rFont val="Arial"/>
        <family val="2"/>
      </rPr>
      <t>ACTIVA :</t>
    </r>
    <r>
      <rPr>
        <sz val="11"/>
        <color theme="1"/>
        <rFont val="Arial"/>
        <family val="2"/>
      </rPr>
      <t>Se da cumplimento a la estrategia en este periodo, adelantando (4) acciones. Magnitud Ejecutada Acumulada en este periodo (599) se pasa de (3.943) a (4.542),</t>
    </r>
    <r>
      <rPr>
        <b/>
        <sz val="11"/>
        <color theme="1"/>
        <rFont val="Arial"/>
        <family val="2"/>
      </rPr>
      <t xml:space="preserve"> EVENTOS DE PROMOCIÓN Y CONCETRACION: </t>
    </r>
    <r>
      <rPr>
        <sz val="11"/>
        <color theme="1"/>
        <rFont val="Arial"/>
        <family val="2"/>
      </rPr>
      <t xml:space="preserve">Se da cumplimento a la estrategia en este periodo, adelantando (2) acciones. 
Magnitud Ejecutada Acumulada en este periodo para Eventos de Concentración es del (10%), se realizaron 10 eventos y se impactaron un total de (1.130).
Magnitud Ejecutada Acumulada en este periodo para Eventos de Promoción es del (6%), se realizaron 8 eventos y se impactaron un total de (403). 
 </t>
    </r>
    <r>
      <rPr>
        <b/>
        <sz val="11"/>
        <color theme="1"/>
        <rFont val="Arial"/>
        <family val="2"/>
      </rPr>
      <t xml:space="preserve">
</t>
    </r>
  </si>
  <si>
    <t xml:space="preserve">Se entregaron estímulos e incentivos a cinco (5) deportitas a través de la Resoluciones No. 005. 007, 017, 086, 090 del 2025 </t>
  </si>
  <si>
    <t xml:space="preserve">Se impulsaron cinco (5 ) eventos deportivos, los cuales fueron: Media Maraton del Mar Kids, Media Maraton del Mar, Torneo Fedecoltenis Nacional, Torneo Acismabol, Suramericano de Fútbol Sub-17. </t>
  </si>
  <si>
    <t xml:space="preserve">Se impulsaron cinco (5 ) eventos deportivos, los cuales fueron: Media Maraton del Mar Kids, Media Maraton del Mar, Torneo Fedecoltenis Nacional, Torneo Acismabol, Suramericano de Fútbol Sub-17.Estos eventos beneficaron a 14.320 personas. </t>
  </si>
  <si>
    <t xml:space="preserve">Se impusaron un (1) evento recreativo , el cual fue: Open Latino de Kangoo. Este evento beneficio aproximadamente a 493 personas. </t>
  </si>
  <si>
    <t xml:space="preserve">OBSERVACIONES MARZO  2025 https://idergov-my.sharepoint.com/:f:/g/personal/planeacion_ider_gov_co/EnG2Fni-CFhNuzwDT2FC2l0BvEUNcZM0Ryf5tVBcyYoBtw?e=FaO0SE. </t>
  </si>
  <si>
    <t>REPORTE PRODUCTO DE ENERO -MARZO DE 2025</t>
  </si>
  <si>
    <t>REPORTE ACTIVIDAD DE PROYECTO
EJECUTADO DE ENERO A MARZO DE 2025</t>
  </si>
  <si>
    <t>Se realizó el día 21 de marrzo de  el acompañamiento en la conmemoración del Día del Síndrome de Down con la población con discapacidad a través de actividades pre deportivas, con el objetivo de brindar espacios de participación de esta población. Se relizaron torneos deportivos en conmemoración de la Virgen de la Candelaria , que beneficiaron aproximadamente a 135 personas.</t>
  </si>
  <si>
    <t xml:space="preserve">APROPIACIÓN DEFINITIVA </t>
  </si>
  <si>
    <t>EJECUCIÓN PRESUPUESTAL</t>
  </si>
  <si>
    <t>Se entregaron estímulos e incentivos a diecises  (16) organismos deportivos a través de las Resoluciones No. 045, 046,047,048, 050, 051, 052, 079,080,081,082, 083,084, 085, 103 y 104  del 2025.</t>
  </si>
  <si>
    <t>0.5</t>
  </si>
  <si>
    <r>
      <rPr>
        <b/>
        <sz val="12"/>
        <color theme="1"/>
        <rFont val="Arial"/>
        <family val="2"/>
      </rPr>
      <t>Crear la red de conocimiento científico del sector deporte:</t>
    </r>
    <r>
      <rPr>
        <sz val="12"/>
        <color theme="1"/>
        <rFont val="Arial"/>
        <family val="2"/>
      </rPr>
      <t xml:space="preserve">
Se adelantan reuniones con las diferentes universidades para crear la red de
conocimiento. Todo con el propósito de generar un espacio de diálogo permanente
con el sector académico y científico de la ciudad con el objeto de debatir sobre
problemas de interés del sector que pudiera servir para la toma de decisiones
futuras.    Generar alianzas para la producción de conocimiento científico sobre el
sector deporte.
Se trabajan en las alianzas con las universidades elaborando borradores de minuta
de proyecto especifico con la universidad mayor de bolivar, con la universidad del
sinu, con la universidad de cartagena, unipamplona y la Unad. Desarrollar encuentros científicos
Se trabaja en la organización del encuentro científico programado para el segundo
semestre del 2025. Se recomienda la articulación de los diferentes programas de fomento deportivo con el
observatorio de ciencias aplicadas para el buen desarrollo de la estrategia de
fortalecimiento del capital humano del sector.
Se propuso el desarrollo de un diplomado en deporte y recreación en asocio con la
universidad UNIMAYOR orientado al mejoramiento del capital humano al servicio del IDER.
Se trabaja en el borrador de la malla curricular de dicho diplomado.  Se realizaron actividades de apropiación  social del conocimiento en temas especificos de las  areas de deporte y recreación además de la  socialización de la nueva Ley del Entrendor, que benefició a 300 personas aproximadamente.  </t>
    </r>
  </si>
  <si>
    <t xml:space="preserve">El día 1° de marzo, se iniciaron las inscripciones a los Juegos Intercolegiados Nacionales 2025 a través de la plataforma que para tal efecto ha dispuesto el Ministerio del Deporte Colombiano, las cuales se extenderán hasta el próximo 30 de abril del corriente.
•	Se iniciaron las inscripciones a los Juegos Intercolegiados 2025, visitando a las Instituciones Educativas de Cartagena oficiales y no oficiales para incentivar la participación del cuerpo estudiantil en los Juegos, existen estudiantes atletas 429 inscritos en la plataforma </t>
  </si>
  <si>
    <t>PRESUPUESTO EJECUTADO SEGÚN  IDER</t>
  </si>
  <si>
    <t>EJECUCION DE COMPROMISOS SEGÚN POAI SEC PLANEACION</t>
  </si>
  <si>
    <t>EJECUCION DE OBLIGACIONES SEGÚN POAI SEC PLANEACION</t>
  </si>
  <si>
    <t>% DE EJECUCIÓN PRESUPUESTAL DE LOS COMPROMISOS</t>
  </si>
  <si>
    <t>% DE EJECUCIÓN PRESUPUESTAL DE LAS OBLIGACIONES</t>
  </si>
  <si>
    <t>%AVANCE DE EJECUCION ACTIVIDADES DEL PROYECTO MARZO 2025</t>
  </si>
  <si>
    <t>Avance del proyecto Fortalecimiento de la red de Infraestructura Deportiva del Distrito de  Cartagena de Indias</t>
  </si>
  <si>
    <t xml:space="preserve">Avance presupuestal del proyecto </t>
  </si>
  <si>
    <t>Avance del proyecto Fortalecer el Sistema Deportivo Distrital orientado al fomento del Alto Rendimiento</t>
  </si>
  <si>
    <t>Avance del proyecto Fortalecimiento del conocimiento y ciencias aplicadas al sector Deporte y Recreación en Bolívar y  Cartagena de Indias</t>
  </si>
  <si>
    <t>Avance del proyecto Implementación de la Escuela de Iniciación y Formación Deportiva - EIFD en  Cartagena de Indias</t>
  </si>
  <si>
    <t>Avance del proyecto Desarrollo de una estrategia para el fortalecimiento del deporte estudiantil, universitario y la educación física extraescolar en  Cartagena de Indias</t>
  </si>
  <si>
    <t>Avance del proyecto Fortalecimiento del Deporte Social Comunitario con enfoque diferencial en el Distrito de   Cartagena de Indias</t>
  </si>
  <si>
    <t>Avance del proyecto Aprovechamiento del tiempo libre y Recreación Comunitaria para la inclusión social en  Cartagena de Indias</t>
  </si>
  <si>
    <t>Avance del proyecto Transformación de hábitos a través del fomento de la actividad física y estilos de vida saludable en  Cartagena de Indias</t>
  </si>
  <si>
    <t>Avance del proyecto Consolidación del Deporte y la Recreación como impulsores de turismo en el Distrito de  Cartagena de Indias</t>
  </si>
  <si>
    <t>Avance del proyecto Desarrollo de prácticas deportivas y recreativas dirigidas a las comunidades negras, afrocolombiana, raizales y palenquera en  Cartagena de Indias</t>
  </si>
  <si>
    <t>Avance del proyecto Integración de los cabildos indígenas a través de prácticas deportivas y recreativas en  Cartagena de Indias</t>
  </si>
  <si>
    <t>AVANCE PLAN DE ACCION IDER MARZO 31 2025</t>
  </si>
  <si>
    <t>Avance presupuestal del IDER Marzo 31 2025</t>
  </si>
  <si>
    <t xml:space="preserve">Mantener cincuenta y cinco (55) </t>
  </si>
  <si>
    <t>x</t>
  </si>
  <si>
    <t>Manuales operativos y administrativos actualizados para el uso adecuado y mantenimiento de los escenarios deportivos.</t>
  </si>
  <si>
    <t>Acciones desarrolladas para el mantenimiento, adecuación y mejoramiento de los escenarios deportivos.</t>
  </si>
  <si>
    <t>Escenarios deportivos intervenidos mediante acciones de mantenimiento, adecuación y mejoramiento, con usuarios sensibilizados para su uso adecuado y conservación.</t>
  </si>
  <si>
    <t>Escenarios deportivos mantenidos, adecuados y mejorados dispuestos a la comunidad .</t>
  </si>
  <si>
    <t>Escenarios deportivos mantenidos, adecuados y mejorados  dispuestos a la comunidad .</t>
  </si>
  <si>
    <t>Escenarios deportivos mantenidos, adecuados y mejorados  dispuestos a la comunidad.</t>
  </si>
  <si>
    <t>Estímulos a deportistas convencionales y no convencionales entregados.</t>
  </si>
  <si>
    <t>Incentivos y/o apoyos para ligas, clubes, federaciones y otras organizaciones deportivas entregados.</t>
  </si>
  <si>
    <t xml:space="preserve">Documentos de investigación en memoria histórica asociados al sector deporte y recreación publicados </t>
  </si>
  <si>
    <t>Sistema de Información con documentos de investigación en memoria histórica Distrital del Deporte implementado.</t>
  </si>
  <si>
    <t>Alianzas estratégicas generadas para la producción de conocimiento científico y el fortalecimiento de la formación en deporte y recreación, con resultados documentados.</t>
  </si>
  <si>
    <t>Semillero de investigación de investigación sobre el sector deporte implementado</t>
  </si>
  <si>
    <t>Semillero de investigaciónde investigación sobre el sector deporte implementado</t>
  </si>
  <si>
    <t>Informe sobre la asistencia y nivel de participación de los participantes en los espacios de intercambio de conocimiento sobre deporte, recreación y actividad física.</t>
  </si>
  <si>
    <t>Material de divulgación generado de  las actividades y eventos desarrollados en el proyecto</t>
  </si>
  <si>
    <t xml:space="preserve"> Niños, niñas, jóvenes y padres inscritos y acompañados interdisciplinariamente en la Escuela de Iniciación y Formación Deportiva - EIFD.</t>
  </si>
  <si>
    <t>Núcleos de educación física extraescolar creados.</t>
  </si>
  <si>
    <t>Insumos adquiridos e implementación para el funcionamiento de los núcleos de educación física extraescolar.</t>
  </si>
  <si>
    <t>Participates de Instituciones Educativas inscritas en los Juegos Intercolegiados - Fase Distrital.</t>
  </si>
  <si>
    <t>Informe de ejecución de las competencias deportivas de los Juegos Intercolegiados - Fase Distrital, con resultados y participantes.</t>
  </si>
  <si>
    <t xml:space="preserve">Reporte y seguimiento de la participación de equipos campeones en fases departamentales, regionales y/o nacionales implementadas. </t>
  </si>
  <si>
    <t>Reporte y seguimiento de la participación en el desarrollo de las competencias de los juegos interuniversitarios.</t>
  </si>
  <si>
    <t>Personas participantes en los eventos y/o torneos del deporte social comunitario de las jornadas realizadas.</t>
  </si>
  <si>
    <t>Personas participantes en los eventos y/o torneos del deporte social comunitario de las estrategias realizadas.</t>
  </si>
  <si>
    <t>Personas participantes en los eventos y/o torneos del deporte social comunitario realizados.</t>
  </si>
  <si>
    <t>Personas participantes en las estrategias y/o actividades de recreación comunitaria desarrolladas.</t>
  </si>
  <si>
    <t>Personas participantes en las estrategias y/o actividades de recreación comunitaria implementadas.</t>
  </si>
  <si>
    <t>Personas participantes en las estrategias y/o actividades de recreación comunitaria implementadas</t>
  </si>
  <si>
    <t>Personas participantes en las estrategias y/o actividades de recreación comunitaria realizadas</t>
  </si>
  <si>
    <t xml:space="preserve">Personas participantes en las estrategias y/o actividades de recreación comunitaria realizadas </t>
  </si>
  <si>
    <t>Personas participantes a las estrategias de actividad física implementadas.</t>
  </si>
  <si>
    <t>Personas participantes a las estrategias de actividad física realizadas.</t>
  </si>
  <si>
    <t>Personas participantes a las estrategias de actividad física implementadas</t>
  </si>
  <si>
    <t>Personas participantes a las estrategias de actividad física desarrolladas.</t>
  </si>
  <si>
    <t>Documentos de alianzas generadas con entidades de enfoque turístico, orientadas a la promoción y vinculación de personas a eventos recreativos regionales, nacionales e internacionales.</t>
  </si>
  <si>
    <t>Crear seis (6) núcleos de la escuela iniciativa y formación deportiva</t>
  </si>
  <si>
    <t>Se estableció el cronograma de trabajo con las intituciones educativas donde se desarrollaran los dos (2) núcleos de Educación Física Extraescolar.en el Distrito de Cartagena de Indias, los cuales se esperan que entren en funcionaiento en el segundo semestre del 2025.</t>
  </si>
  <si>
    <t xml:space="preserve">Se entregaron estímulos e incentivos a  doscientos nueve (209) deportitas a través de la Resoluciones No. 005. 007, 017, 086, 095, 123, 204 y 213 del 2025, además de convenios de asociación. </t>
  </si>
  <si>
    <r>
      <rPr>
        <b/>
        <u/>
        <sz val="11"/>
        <color theme="1"/>
        <rFont val="Arial"/>
        <family val="2"/>
      </rPr>
      <t>A corte de 30 de junio se reporta:
•</t>
    </r>
    <r>
      <rPr>
        <sz val="11"/>
        <color theme="1"/>
        <rFont val="Arial"/>
        <family val="2"/>
      </rPr>
      <t xml:space="preserve">	Para este periodo se desarrollan Juegos de la inclusión en donde hace parte como estrategia fundamental los Juegos Indígenas con la participación de los 6 cabildos del distrito, los Cabildos Kainzhabz, Kaiceba, Kaizem, Kankuamo, Inga y Kaizerupab en los cuales se reportan 470 inscritosA corte de 10 de junio se reporta: Se desarrollan Juegos de la inclusión en donde hace parte como estrategia fundamental los Juegos Indígenas con la participación de los 6 cabildos del distrito, en los cuales se reportan 467 inscritos.</t>
    </r>
    <r>
      <rPr>
        <b/>
        <u/>
        <sz val="11"/>
        <color theme="1"/>
        <rFont val="Arial"/>
        <family val="2"/>
      </rPr>
      <t>A corte de 30 de Mayo se reporta:</t>
    </r>
    <r>
      <rPr>
        <sz val="11"/>
        <color theme="1"/>
        <rFont val="Arial"/>
        <family val="2"/>
      </rPr>
      <t xml:space="preserve">
•	Se realizó la entrega de uniformes a las Autoridades de los Cabildos Kainzhabz, Kaiceba, Kaizem, Kankuamo, Inga y Kaizerupab en las instalaciones del Instituto IDER.
•	Se realizó la inauguración de los Juegos de la inclusión en donde hace parte como estrategia fundamental los Juegos Indígenas que en el Coliseo De Combate y Gimnasia Ignacio Amador de la Peña, con la participación de los 6 cabildos del distrito, donde se dieron cita 70 participantes de los Juegos Indígenas.
•	Se dio inicio de los Juegos indígenas en los cabildos Kaizem de Membrillal y Kaiceba de Bayunca, donde participaron alrededor de 98 jugadores de las poblaciones indígenas en disciplinas como: Futbol de salón, Pilón, Corte de leña, Vara de premio, Molino, tiro al blanco y Trenzado, se está trabajando para dar el inicio de las justas en los 4 cabildos faltantes en la que se impactaran a 490 personas, previamente identificados como población de los cabildos indígenas.</t>
    </r>
    <r>
      <rPr>
        <b/>
        <sz val="11"/>
        <color theme="1"/>
        <rFont val="Arial"/>
        <family val="2"/>
      </rPr>
      <t xml:space="preserve">
</t>
    </r>
  </si>
  <si>
    <r>
      <rPr>
        <b/>
        <u/>
        <sz val="11"/>
        <color theme="1"/>
        <rFont val="Arial"/>
        <family val="2"/>
      </rPr>
      <t>A corte de 30 de junio se reporta:
•</t>
    </r>
    <r>
      <rPr>
        <sz val="11"/>
        <color theme="1"/>
        <rFont val="Arial"/>
        <family val="2"/>
      </rPr>
      <t xml:space="preserve">	17 de junio, se realizó reunión con el equipo de trabajo seguimiento de las programaciones ejecutadas en las diferentes disciplinas.
•	Para este periodo se desarrllan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10 de junio se reporta:
</t>
    </r>
    <r>
      <rPr>
        <sz val="11"/>
        <color theme="1"/>
        <rFont val="Arial"/>
        <family val="2"/>
      </rPr>
      <t>•	Se desarrollan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30 de mayo se reporta:</t>
    </r>
    <r>
      <rPr>
        <sz val="11"/>
        <color theme="1"/>
        <rFont val="Arial"/>
        <family val="2"/>
      </rPr>
      <t xml:space="preserve">
•	5 mayo, Reunión en casa Afro AIKU, con la oficina de asuntos étnicos y consejos comunitarios para la socialización del desarrollo, inicio e inauguración de los Juegos Afro.
•	A partir del 5 de mayo se iniciaron las inscripciones y atención a las Organizaciones Afro y a los Consejos Comunitarios que se encuentran participado en los Juegos Afro 2025, se han inscrito hasta la fecha 528 personas, se está a la espera del listado final de los participantes, concertado con los Consejos Comunitarios.A corte de 30 de junio se reporta:
•	17 de junio, se realizó reunión con el equipo de trabajo seguimiento de las programaciones ejecutadas en las diferentes disciplinas.
•	Para este periodo se desarrollan las programaciones de los Juegos De La Inclusión en los cuales los Juegos Afro hacen parte de estos como estrategia fundamental para las comunidades NARP. Y se cuenta con 814 inscritos. 
•	16 mayo, se realizó la primera entrega de uniformes e implementación deportiva a los representantes de los equipos participantes en los Juegos Afro 2025.
•	18 mayo, se realizó la inauguración de los Juegos De La Inclusión en los cuales los Juegos Afro hacen parte de estos como estrategia fundamental para las comunidades NARP. 
•	19 mayo, se participó en el conversatorio Historia, Memoria y Construcción De Las Identidades De Las Comunidades NARP
•	24 mayo, se inició el desarrollo de los Juegos Afro 2025.</t>
    </r>
  </si>
  <si>
    <r>
      <rPr>
        <b/>
        <u/>
        <sz val="11"/>
        <color theme="1"/>
        <rFont val="Arial"/>
        <family val="2"/>
      </rPr>
      <t>A CORTE 20 DE JUNIO DE 2025: ENTORNOS SALUDABLES : S</t>
    </r>
    <r>
      <rPr>
        <sz val="11"/>
        <color theme="1"/>
        <rFont val="Arial"/>
        <family val="2"/>
      </rPr>
      <t xml:space="preserve">e da cumplimento a la estrategia en este periodo, adelantando (17) acciones. Magnitud Ejecutada en este periodo es de (856), pasamos de (4.872) a (5.728) personas beneficiadas., </t>
    </r>
    <r>
      <rPr>
        <b/>
        <u/>
        <sz val="11"/>
        <color theme="1"/>
        <rFont val="Arial"/>
        <family val="2"/>
      </rPr>
      <t>INTEGRATÉ POR TU SALUD</t>
    </r>
    <r>
      <rPr>
        <sz val="11"/>
        <color theme="1"/>
        <rFont val="Arial"/>
        <family val="2"/>
      </rPr>
      <t xml:space="preserve">: Se da cumplimento a la estrategia en este periodo, adelantando (4) Acciones. Magnitud Ejecutada en este periodo (130) se pasa de (153) a (283) personas beneficiadas., </t>
    </r>
    <r>
      <rPr>
        <b/>
        <u/>
        <sz val="11"/>
        <color theme="1"/>
        <rFont val="Arial"/>
        <family val="2"/>
      </rPr>
      <t>PASOS SALUDABLES: S</t>
    </r>
    <r>
      <rPr>
        <sz val="11"/>
        <color theme="1"/>
        <rFont val="Arial"/>
        <family val="2"/>
      </rPr>
      <t>e da cumplimento a la estrategia en este periodo, adelantando (3) Acciones. Magnitud Ejecutada Acumulada en este periodo (9) se aumenta de (908) a (917) personas beneficiadas</t>
    </r>
    <r>
      <rPr>
        <b/>
        <u/>
        <sz val="11"/>
        <color theme="1"/>
        <rFont val="Arial"/>
        <family val="2"/>
      </rPr>
      <t xml:space="preserve">. VIDA ACTIVA: </t>
    </r>
    <r>
      <rPr>
        <sz val="11"/>
        <color theme="1"/>
        <rFont val="Arial"/>
        <family val="2"/>
      </rPr>
      <t xml:space="preserve">Se da cumplimento a la estrategia en este periodo, adelantando (4) acciones. Magnitud Ejecutada Acumulada en este periodo (198) pasamos de (4.786) a (4.984), </t>
    </r>
    <r>
      <rPr>
        <b/>
        <u/>
        <sz val="11"/>
        <color theme="1"/>
        <rFont val="Arial"/>
        <family val="2"/>
      </rPr>
      <t xml:space="preserve"> A CORTE 10 DE JUNIO DE 2025: </t>
    </r>
    <r>
      <rPr>
        <b/>
        <sz val="11"/>
        <color theme="1"/>
        <rFont val="Arial"/>
        <family val="2"/>
      </rPr>
      <t xml:space="preserve">Proyecto Transformación de Hábitos a Través del Fomento de la Actividad Física y Estilos de Vida Saludable en el Distrito de Cartagena. Dando cumplimiento a este proyecto desde el área se implementaron las siguientes estrategias en la vigencia comprendida entre enero – junio 10 de 2025 </t>
    </r>
    <r>
      <rPr>
        <sz val="11"/>
        <color theme="1"/>
        <rFont val="Arial"/>
        <family val="2"/>
      </rPr>
      <t xml:space="preserve">1. “Campañas de sensibilización sobre temas relacionados con enfermedades crónicas no transmisibles y sus factores de riesgo”: En este periodo hemos dado cumplimiento al cronograma de actividades proyectadas, adelantando las campañas de “Cartagena es Violeta” donde se movilizaron más de 3.350 personas y la campaña de “Hipertensión y Prevención del Consumo de Tabaco” logramos sensibilizar a más de 763 personas. 2. “Entornos Saludables”: Con sus acciones Empresa Saludable, Centros Penitenciarios y Carcelarios, Ambientes Saludables, Plogging y Actívate Gestante, se lograron beneficiar (5.200) personas, de los cuales 3.046 fueron mujeres y 2.154 fueron hombres 3. “Intégrate por tu Salud” 3.1 Aquaeróbic: reporta un total de (153) personas participantes. de los cuales 140 fueron mujeres y 13 fueron hombres 3.2 Jóvenes de Especial Atención: registra un total de (35) jóvenes atendidos en la Fundación Talid, Hogares Crea y Construyendo Ciudad, de los cuales 35 fueron hombres 4. “Pasos Saludables”: 4.1 Caminante Saludable: se reporta un total de (210) personas registradas, de los cuales 178 son mujeres y 32 hombres. 4.2 Actívate Running: reporta un total de (94) personas registradas, de los cuales 87 son mujeres y 7 hombres.  4.3 Actívate en el Parque: La Estrategia reporta un total de (604) personas impactadas, de los cuales 541 son mujeres y 63 son hombres. 4.4 Actívate Rodando: en el momento no se cuenta con ningún punto activo, a la espera de la contratación de la persona idónea para desarrollar la acción. 5. “Vida Activa”: 5.1 Madrúgale a la Salud: se reporta un total de (2.199) personas registradas, de los cuales 2.071 son mujeres y 128 son hombres y con (54) puntos de actividad física activos. 5.2 Noches Saludables: reporta un total de (2.245) personas registradas, de los cuales 2.181 son mujeres y 64 son hombres y (66) puntos de actividad física activos. 5.3 Joven Saludable: reportamos un total de (342) jóvenes registrados, de los cuales 246 son mujeres y 96 son hombres y (12) núcleos activos.Eventos: 1. Eventos de Concentración: se han realizado 42 con un total de 5.848 personas participantes de las cuales 5.586 han sido mujeres y 262 hombres. Se realizo el día 24 de mayo en el Campo de Sóftbol del Corregimiento de La Boquilla el Evento de
Concentración Actívate en tu Corregimiento, con la presencia de 180 usuarios de los puntos de actividad física de MS La Boquilla, MS Puerto Rey, MS Bayunca, NS Arroyo de Piedra, NS Tierra
Baja, NS Punta Canoa, NS Bayunca y NS Pontezuela. 2. Eventos de promoción: se han realizado 31 con un total de 1.577 personas participantes de las
cuales 1.420 han sido mujeres y 157 hombres. </t>
    </r>
  </si>
  <si>
    <t xml:space="preserve">.De enero a  junio de 2025, se impulsaron  quince (15) eventos deportivos, los cuales fueron: Media Maraton del Mar Kids, Media , Maraton del Mar, Torneo Fedecoltenis Nacional, Torneo Acismabol, Suramericano de Fútbol Sub-17, TRAVESIA TIERRA BOMBA,  CAMPEONATO NACIONAL DE VOLEIBOL PLAYA, HOLYWEEK FUTBOL, Del Castillo a la Popa , I Clásica integrada del Caribe, Torneo Internacional  Super Titanes, UTB 60,  Evento de Atletismo-Cumpleaños de Cartagena, Campeonato Departamental de Ciclismo y Medal Store Mujer Maravilla (Atletismo)  Estos eventos beneficaron a 53.477  personas. </t>
  </si>
  <si>
    <t>Se iniciarán  la construcción de nuevos escenarios deportivos en el segundo semestre del año 2025 con recursos de incorporación en el presupuesto de inversión del Distrito de Cartagena de Indias asignado al Despacho del Alcalde , vigencia fiscal 2025. (Decreto No. 1644 del 26 de junio de 2025). Los escenarios son : El Coliseo del Norte , por valor de $ 37.915.567.964, Centro Deportivo Bayunca por valor de $14.798.026.750 y Escenario Recreo-Deportivo Manzanillo por valor de $11.819.469.028</t>
  </si>
  <si>
    <t>NP</t>
  </si>
  <si>
    <t>REPORTE PRODUCTO DE ENERO -JUNIO DE 2025</t>
  </si>
  <si>
    <t xml:space="preserve">OBSERVACIONES JUNIO  2025 https://idergov-my.sharepoint.com/:f:/g/personal/planeacion_ider_gov_co/EnG2Fni-CFhNuzwDT2FC2l0BvEUNcZM0Ryf5tVBcyYoBtw?e=FaO0SE. </t>
  </si>
  <si>
    <t>https://community.secop.gov.co/Public/Tendering/OpportunityDetail/Index?noticeUID=CO1.NTC.7595948&amp;isFromPublicArea=True&amp;isModal=true&amp;asPopupView=true</t>
  </si>
  <si>
    <t>https://community.secop.gov.co/Public/Tendering/OpportunityDetail/Index?noticeUID=CO1.NTC.7599354&amp;isFromPublicArea=True&amp;isModal=true&amp;asPopupView=true</t>
  </si>
  <si>
    <t>https://community.secop.gov.co/Public/Tendering/OpportunityDetail/Index?noticeUID=CO1.NTC.7572789&amp;isFromPublicArea=True&amp;isModal=true&amp;asPopupView=true</t>
  </si>
  <si>
    <t>https://community.secop.gov.co/Public/Tendering/OpportunityDetail/Index?noticeUID=CO1.NTC.7907791&amp;isFromPublicArea=True&amp;isModal=true&amp;asPopupView=true</t>
  </si>
  <si>
    <t>https://community.secop.gov.co/Public/Tendering/OpportunityDetail/Index?noticeUID=CO1.NTC.7837720&amp;isFromPublicArea=True&amp;isModal=true&amp;asPopupView=true</t>
  </si>
  <si>
    <t>https://community.secop.gov.co/Public/Tendering/OpportunityDetail/Index?noticeUID=CO1.NTC.7677913&amp;isFromPublicArea=True&amp;isModal=true&amp;asPopupView=true</t>
  </si>
  <si>
    <t>https://community.secop.gov.co/Public/Tendering/OpportunityDetail/Index?noticeUID=CO1.NTC.7758767&amp;isFromPublicArea=True&amp;isModal=true&amp;asPopupView=true</t>
  </si>
  <si>
    <t>https://community.secop.gov.co/Public/Tendering/OpportunityDetail/Index?noticeUID=CO1.NTC.7771839&amp;isFromPublicArea=True&amp;isModal=true&amp;asPopupView=true</t>
  </si>
  <si>
    <t>https://community.secop.gov.co/Public/Tendering/OpportunityDetail/Index?noticeUID=CO1.NTC.7854563&amp;isFromPublicArea=True&amp;isModal=true&amp;asPopupView=true</t>
  </si>
  <si>
    <t>https://community.secop.gov.co/Public/Tendering/OpportunityDetail/Index?noticeUID=CO1.NTC.7905866&amp;isFromPublicArea=True&amp;isModal=true&amp;asPopupView=true</t>
  </si>
  <si>
    <t>https://community.secop.gov.co/Public/Tendering/OpportunityDetail/Index?noticeUID=CO1.NTC.7778370&amp;isFromPublicArea=True&amp;isModal=true&amp;asPopupView=true</t>
  </si>
  <si>
    <t>https://community.secop.gov.co/Public/Tendering/OpportunityDetail/Index?noticeUID=CO1.NTC.7911166&amp;isFromPublicArea=True&amp;isModal=true&amp;asPopupView=true</t>
  </si>
  <si>
    <t>https://community.secop.gov.co/Public/Tendering/OpportunityDetail/Index?noticeUID=CO1.NTC.8011822&amp;isFromPublicArea=True&amp;isModal=true&amp;asPopupView=true</t>
  </si>
  <si>
    <t>https://community.secop.gov.co/Public/Tendering/OpportunityDetail/Index?noticeUID=CO1.NTC.8011810&amp;isFromPublicArea=True&amp;isModal=true&amp;asPopupView=true</t>
  </si>
  <si>
    <t>https://community.secop.gov.co/Public/Tendering/OpportunityDetail/Index?noticeUID=CO1.NTC.7681685&amp;isFromPublicArea=True&amp;isModal=true&amp;asPopupView=true</t>
  </si>
  <si>
    <t>https://community.secop.gov.co/Public/Tendering/OpportunityDetail/Index?noticeUID=CO1.NTC.7415554&amp;isFromPublicArea=True&amp;isModal=true&amp;asPopupView=true</t>
  </si>
  <si>
    <t>https://community.secop.gov.co/Public/Tendering/OpportunityDetail/Index?noticeUID=CO1.NTC.7819911&amp;isFromPublicArea=True&amp;isModal=true&amp;asPopupView=true</t>
  </si>
  <si>
    <t>https://community.secop.gov.co/Public/Tendering/OpportunityDetail/Index?noticeUID=CO1.NTC.7896836&amp;isFromPublicArea=True&amp;isModal=true&amp;asPopupView=true</t>
  </si>
  <si>
    <t>https://community.secop.gov.co/Public/Tendering/OpportunityDetail/Index?noticeUID=CO1.NTC.8045446&amp;isFromPublicArea=True&amp;isModal=true&amp;asPopupView=true</t>
  </si>
  <si>
    <t>https://community.secop.gov.co/Public/Tendering/OpportunityDetail/Index?noticeUID=CO1.NTC.7569536&amp;isFromPublicArea=True&amp;isModal=true&amp;asPopupView=true</t>
  </si>
  <si>
    <t>https://community.secop.gov.co/Public/Tendering/OpportunityDetail/Index?noticeUID=CO1.NTC.7569689&amp;isFromPublicArea=True&amp;isModal=true&amp;asPopupView=true</t>
  </si>
  <si>
    <t>https://community.secop.gov.co/Public/Tendering/OpportunityDetail/Index?noticeUID=CO1.NTC.7720675&amp;isFromPublicArea=True&amp;isModal=true&amp;asPopupView=true</t>
  </si>
  <si>
    <t>https://community.secop.gov.co/Public/Tendering/OpportunityDetail/Index?noticeUID=CO1.NTC.7602955&amp;isFromPublicArea=True&amp;isModal=true&amp;asPopupView=true</t>
  </si>
  <si>
    <t>https://community.secop.gov.co/Public/Tendering/OpportunityDetail/Index?noticeUID=CO1.NTC.7728964&amp;isFromPublicArea=True&amp;isModal=true&amp;asPopupView=true</t>
  </si>
  <si>
    <t>https://community.secop.gov.co/Public/Tendering/OpportunityDetail/Index?noticeUID=CO1.NTC.7779139&amp;isFromPublicArea=True&amp;isModal=true&amp;asPopupView=true</t>
  </si>
  <si>
    <t>https://community.secop.gov.co/Public/Tendering/OpportunityDetail/Index?noticeUID=CO1.NTC.7806231&amp;isFromPublicArea=True&amp;isModal=true&amp;asPopupView=true</t>
  </si>
  <si>
    <t>https://community.secop.gov.co/Public/Tendering/OpportunityDetail/Index?noticeUID=CO1.NTC.7829976&amp;isFromPublicArea=True&amp;isModal=true&amp;asPopupView=true</t>
  </si>
  <si>
    <t>https://community.secop.gov.co/Public/Tendering/OpportunityDetail/Index?noticeUID=CO1.NTC.7834124&amp;isFromPublicArea=True&amp;isModal=true&amp;asPopupView=true</t>
  </si>
  <si>
    <t>https://community.secop.gov.co/Public/Tendering/OpportunityDetail/Index?noticeUID=CO1.NTC.7856222&amp;isFromPublicArea=True&amp;isModal=true&amp;asPopupView=true</t>
  </si>
  <si>
    <t>https://community.secop.gov.co/Public/Tendering/OpportunityDetail/Index?noticeUID=CO1.NTC.7714588&amp;isFromPublicArea=True&amp;isModal=true&amp;asPopupView=true</t>
  </si>
  <si>
    <t>https://community.secop.gov.co/Public/Tendering/OpportunityDetail/Index?noticeUID=CO1.NTC.7834834&amp;isFromPublicArea=True&amp;isModal=true&amp;asPopupView=true</t>
  </si>
  <si>
    <t>https://community.secop.gov.co/Public/Tendering/OpportunityDetail/Index?noticeUID=CO1.NTC.7779256&amp;isFromPublicArea=True&amp;isModal=true&amp;asPopupView=true</t>
  </si>
  <si>
    <t>https://community.secop.gov.co/Public/Tendering/OpportunityDetail/Index?noticeUID=CO1.NTC.7763138&amp;isFromPublicArea=True&amp;isModal=true&amp;asPopupView=true</t>
  </si>
  <si>
    <t>https://community.secop.gov.co/Public/Tendering/OpportunityDetail/Index?noticeUID=CO1.NTC.7744533&amp;isFromPublicArea=True&amp;isModal=true&amp;asPopupView=true</t>
  </si>
  <si>
    <t>https://community.secop.gov.co/Public/Tendering/OpportunityDetail/Index?noticeUID=CO1.NTC.7754226&amp;isFromPublicArea=True&amp;isModal=true&amp;asPopupView=true</t>
  </si>
  <si>
    <t>https://community.secop.gov.co/Public/Tendering/OpportunityDetail/Index?noticeUID=CO1.NTC.7864819&amp;isFromPublicArea=True&amp;isModal=true&amp;asPopupView=true</t>
  </si>
  <si>
    <t>https://community.secop.gov.co/Public/Tendering/OpportunityDetail/Index?noticeUID=CO1.NTC.7854412&amp;isFromPublicArea=True&amp;isModal=true&amp;asPopupView=true</t>
  </si>
  <si>
    <t>https://community.secop.gov.co/Public/Tendering/OpportunityDetail/Index?noticeUID=CO1.NTC.7826289&amp;isFromPublicArea=True&amp;isModal=true&amp;asPopupView=true</t>
  </si>
  <si>
    <t>https://community.secop.gov.co/Public/Tendering/OpportunityDetail/Index?noticeUID=CO1.NTC.7936674&amp;isFromPublicArea=True&amp;isModal=true&amp;asPopupView=true</t>
  </si>
  <si>
    <t>https://community.secop.gov.co/Public/Tendering/OpportunityDetail/Index?noticeUID=CO1.NTC.7934320&amp;isFromPublicArea=True&amp;isModal=true&amp;asPopupView=true</t>
  </si>
  <si>
    <t>https://community.secop.gov.co/Public/Tendering/OpportunityDetail/Index?noticeUID=CO1.NTC.7602809&amp;isFromPublicArea=True&amp;isModal=true&amp;asPopupView=true</t>
  </si>
  <si>
    <t>https://community.secop.gov.co/Public/Tendering/OpportunityDetail/Index?noticeUID=CO1.NTC.7765391&amp;isFromPublicArea=True&amp;isModal=true&amp;asPopupView=true</t>
  </si>
  <si>
    <t>https://community.secop.gov.co/Public/Tendering/OpportunityDetail/Index?noticeUID=CO1.NTC.7765569&amp;isFromPublicArea=True&amp;isModal=true&amp;asPopupView=true</t>
  </si>
  <si>
    <t>https://community.secop.gov.co/Public/Tendering/OpportunityDetail/Index?noticeUID=CO1.NTC.7423801&amp;isFromPublicArea=True&amp;isModal=true&amp;asPopupView=true</t>
  </si>
  <si>
    <t>https://community.secop.gov.co/Public/Tendering/OpportunityDetail/Index?noticeUID=CO1.NTC.7429755&amp;isFromPublicArea=True&amp;isModal=true&amp;asPopupView=true</t>
  </si>
  <si>
    <t>https://community.secop.gov.co/Public/Tendering/OpportunityDetail/Index?noticeUID=CO1.NTC.8086171&amp;isFromPublicArea=True&amp;isModal=true&amp;asPopupView=true</t>
  </si>
  <si>
    <t>https://community.secop.gov.co/Public/Tendering/OpportunityDetail/Index?noticeUID=CO1.NTC.7432495&amp;isFromPublicArea=True&amp;isModal=true&amp;asPopupView=true</t>
  </si>
  <si>
    <t>https://community.secop.gov.co/Public/Tendering/OpportunityDetail/Index?noticeUID=CO1.NTC.7433131&amp;isFromPublicArea=True&amp;isModal=true&amp;asPopupView=true</t>
  </si>
  <si>
    <t>https://community.secop.gov.co/Public/Tendering/OpportunityDetail/Index?noticeUID=CO1.NTC.7439694&amp;isFromPublicArea=True&amp;isModal=true&amp;asPopupView=true</t>
  </si>
  <si>
    <t>https://community.secop.gov.co/Public/Tendering/OpportunityDetail/Index?noticeUID=CO1.NTC.7454765&amp;isFromPublicArea=True&amp;isModal=true&amp;asPopupView=true</t>
  </si>
  <si>
    <t>https://community.secop.gov.co/Public/Tendering/OpportunityDetail/Index?noticeUID=CO1.NTC.7455014&amp;isFromPublicArea=True&amp;isModal=true&amp;asPopupView=true</t>
  </si>
  <si>
    <t>https://community.secop.gov.co/Public/Tendering/OpportunityDetail/Index?noticeUID=CO1.NTC.7455244&amp;isFromPublicArea=True&amp;isModal=true&amp;asPopupView=true</t>
  </si>
  <si>
    <t>https://community.secop.gov.co/Public/Tendering/OpportunityDetail/Index?noticeUID=CO1.NTC.7439136&amp;isFromPublicArea=True&amp;isModal=true&amp;asPopupView=true</t>
  </si>
  <si>
    <t>https://community.secop.gov.co/Public/Tendering/OpportunityDetail/Index?noticeUID=CO1.NTC.7439601&amp;isFromPublicArea=True&amp;isModal=true&amp;asPopupView=true</t>
  </si>
  <si>
    <t>https://community.secop.gov.co/Public/Tendering/OpportunityDetail/Index?noticeUID=CO1.NTC.7455516&amp;isFromPublicArea=True&amp;isModal=true&amp;asPopupView=true</t>
  </si>
  <si>
    <t>https://community.secop.gov.co/Public/Tendering/OpportunityDetail/Index?noticeUID=CO1.NTC.7455662&amp;isFromPublicArea=True&amp;isModal=true&amp;asPopupView=true</t>
  </si>
  <si>
    <t>https://community.secop.gov.co/Public/Tendering/OpportunityDetail/Index?noticeUID=CO1.NTC.7456808&amp;isFromPublicArea=True&amp;isModal=true&amp;asPopupView=true</t>
  </si>
  <si>
    <t>https://community.secop.gov.co/Public/Tendering/OpportunityDetail/Index?noticeUID=CO1.NTC.7456846&amp;isFromPublicArea=True&amp;isModal=true&amp;asPopupView=true</t>
  </si>
  <si>
    <t>https://community.secop.gov.co/Public/Tendering/OpportunityDetail/Index?noticeUID=CO1.NTC.7861037&amp;isFromPublicArea=True&amp;isModal=true&amp;asPopupView=true</t>
  </si>
  <si>
    <t>https://community.secop.gov.co/Public/Tendering/OpportunityDetail/Index?noticeUID=CO1.NTC.7470998&amp;isFromPublicArea=True&amp;isModal=true&amp;asPopupView=true</t>
  </si>
  <si>
    <t>https://community.secop.gov.co/Public/Tendering/OpportunityDetail/Index?noticeUID=CO1.NTC.7629313&amp;isFromPublicArea=True&amp;isModal=true&amp;asPopupView=true</t>
  </si>
  <si>
    <t xml:space="preserve">INSTITUTO DISTRITAL DE DEPORTE Y RECREACIÓN-IDER </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</si>
  <si>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</si>
  <si>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</si>
  <si>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</si>
  <si>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</si>
  <si>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</si>
  <si>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</si>
  <si>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</si>
  <si>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</si>
  <si>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</si>
  <si>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</si>
  <si>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 xml:space="preserve">Contratación directa (con ofertas) </t>
  </si>
  <si>
    <t>No Aplica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</si>
  <si>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</si>
  <si>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</si>
  <si>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</si>
  <si>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</si>
  <si>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</si>
  <si>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</si>
  <si>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</si>
  <si>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</si>
  <si>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Banco multilateral y organismos multilaterales</t>
  </si>
  <si>
    <t xml:space="preserve">A la fecha de este informe, se han realizado 200 acciones de mantenimiento preventivo recurrente a Escenarios Deportivos, por lo menos una vez en lo que va corrido del año,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Con relación a la autorización permisos para el uso temporal y/o permanente de los escenarios deportivos la población que se busca impactar por el uso y disfrute de los escenarios deportivos y recreativos, hemos logrado generar un total de 635 permisos expedidos y así impactar a 39.254 personas entre Deportistas, Entrenadores, Administrativos y Aficionados; estadísticas que se obtienen de la contabilización por permisos, obviando la recurrencia de los días que ingresan a los escenarios deportivos.
•Para el buen funcionamiento de los escenarios deportivos es necesario contar con los servicios públicos. A la fecha se encuentran al día al mes de junio de 2025. </t>
  </si>
  <si>
    <t>A corte de junio de 2025:     Avanzan las obras en el área de las  Ligas Menores del Complejo Deportivo Nuevo Chambacú , la cancha de fútbol 11 ya se ejecutá el cerramiento perimetral con los postes metálicos instalados en un 80% y avances clave en la viga de amarre, los camerinos y baterias sanitarias ya están estructuralmente terminados  y listos para iniciar acabadosy adecuaciones internas, el cerramiento del sector de ligas menores supera un 60% con trabajo constante en mampostería y fundidas de estructuras. La cancha de fútbol 11 se adelantán labores se cimentación, limpieza de capa vegetal  y ampliación del cerramiento , próximamente   se continuará con la impermeabilización, redes, cerramiento y dotación deportiva. ENERO A MAYO DE 2025: La zona donde avanza la construcción del Nuevo Chambacú, un complejo deportivo y recreativo de gran escala que transformará este emblemático sector de la ciudad.
En visita técnica los  lotes conocidos como Ligas Menores y Ligas Mayores, se constató que las obras preliminares —incluidas las demoliciones, cerramientos, cimentaciones y adecuación del terreno— se están ejecutando conforme al cronograma establecido.Este megaproyecto forma parte de un circuito integral de espacio público que incluye la recuperación del Parque Apolo, el fortalecimiento del Parque Espíritu del Manglar, una nueva plaza de variedades cerca de la India Catalina, y la construcción de un malecón que conectará todo el entorno.La obra será un eje clave de integración social, cultural y deportiva, articulada por varias dependencias distritales como el IDER, EPA Cartagena, Convivienda, IPCC, Secretaría General y Apoyo Logístico. El proyecto contempla una transformación urbana sin precedentes en Cartagena. Estos son algunos de los componentes más importantes:
    •Cancha de fútbol 11 con graderías e iluminación, apta para torneos de alto nivel.
    •Cancha de sóftbol diseñada para competencias locales, regionales y nacionales.
    •Coliseo cubierto para deportes como baloncesto y voleibol.
    •  Skate park profesional para deportes extremos.
    •Senderos ecológicos, ideales para la caminata y la conexión con la naturaleza.
    •Parque para mascotas y zonas de recreación familiar.
    •Corredor peatonal que conectará directamente con el Parque Espíritu del Manglar.</t>
  </si>
  <si>
    <t xml:space="preserve">o	CONTRATO DE OBRA 936-2024.
OBRAS DE MEJORAMIENTO DE LA INFRAESTRUCTURA DEPORTIVA Y RECREATIVA DE LA ZONA DEPORTIVA DE MANGA Y EL PARQUE GENERAL LACIDES SEGOVIA»
VALOR CONTRATO: $ 2.598.751.684,32
LOCALIDAD HISTÓRICA Y DEL CARIBE NORTE (Localidad # 1)
N° DE BENEFICIARIOS: 12.661
Porcentaje de Avance Financiero Acumulado: 90%
Porcentaje de Avance Ejecutado Acumulado: 100%
o	CONTRATO INTERVENTORÍA 937-2024.
«INTERVENTORÍA AL PROYECTO: “OBRAS DE MEJORAMIENTO DE LA INFRAESTRUCTURA DEPORTIVA Y RECREATIVA DE LA ZONA DEPORTIVA DE MANGA Y EL PARQUE GENERAL LACIDES SEGOVIA”»
VALOR CONTRATO: $ 239.026.825
LOCALIDAD HISTÓRICA Y DEL CARIBE NORTE (Localidad # 1)
N° DE BENEFICIARIOS: 12.661
Acta Parcial # 001
Porcentaje de Avance Financiero Acumulado: 90%
Porcentaje de Avance Ejecutado Acumulado: 100%. 
o	CONTRATO DE OBRA 1026-2024
CONTRATAR LAS OBRAS DE MEJORAMIENTO Y ADECUACIÓN PARA LA UNIDAD DEPORTIVA DE LOS CALAMARES, DISTRITO DE CARTAGENA, DEPARTAMENTO DE BOLÍVAR.
VALOR CONTRATO: $ 1.988.829.158
LOCALIDAD HISTÓRICA Y DEL CARIBE NORTE (Localidad # 1)
N° DE BENEFICIARIOS: 9.719
Porcentaje de Avance Financiero Acumulado: 50%
Porcentaje de Avance Ejecutado Acumulado: 100%
o	CONTRATO INTERVENTORÍA No. 1027-2024
INTERVENTORÍA TÉCNICA, ADMINISTRATIVA, FINANCIERA, LEGAL Y AMBIENTAL AL CONTRATO DE OBRAS, CUYO OBJETO ES: “CONTRATAR LAS OBRAS DE MEJORAMIENTO Y ADECUACIÓN PARA LA UNIDAD DEPORTIVA DE LOS CALAMARES, DISTRITO DE CARTAGENA, DEPARTAMENTO DE BOLÍVAR”.
INVERSIÓN TOTAL: $ 125.354.421
LOCALIDAD HISTÓRICA Y DEL CARIBE NORTE (Localidad # 1)
N° DE BENEFICIARIOS: 9.719
Porcentaje de Avance Financiero Acumulado: 0%
Porcentaje de Avance Ejecutado Acumulado: 100% 
o	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80% </t>
  </si>
  <si>
    <t>De enero a 30 de junio de 2025 : Se entregaron estímulos e incentivos a cuarenta y seis cuatro (46) organismos deportivos a través de las Resoluciones No. 045, 046,047,048, 050, 051, 052, 079,080,081,082, 083,084, 085, 103 , 104, 108, 109,110, 117,119,120,121, 122 , 138, 139, 150, 156 , 172, 173,174,175,176, 200 ,218, 248,250,251,256,257,262,283 del 2025 y Convenio de Asociación 574 del 2025.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38 actos administrativos de procesos de reconocimiento deportivos de diferentes clubes deportivos.De enero a mayo de 2025: •	Se llevó a cabo el proceso de acompañamiento y asesoría los organismos deportivos en su reconocimiento y estructuración. Durante este proceso, se atendieron un : total 109 de  personas, brindando orientación sobre los lineamientos y requisitos necesarios para su formalización y funcionamiento.
•	Se expidieron 33 actos administrativos de procesos de reconocimiento deportivos de diferentes clubes deportivos.</t>
  </si>
  <si>
    <r>
      <rPr>
        <b/>
        <u/>
        <sz val="11"/>
        <color theme="1"/>
        <rFont val="Arial"/>
        <family val="2"/>
      </rPr>
      <t xml:space="preserve">A CORTE 30 DE JUNIO DE 2025 : </t>
    </r>
    <r>
      <rPr>
        <sz val="11"/>
        <color theme="1"/>
        <rFont val="Arial"/>
        <family val="2"/>
      </rPr>
      <t xml:space="preserve">  De acuerdo con las instrucciones impartidas por el Asesor Externo en materia de MIPG se elaboró documento técnico de formulación de la política pública de gestión del conocimiento e innovación. Documento que será enviado a la oficina de planeación del Instituto Distrital de Deporte y Recreación para su revisión y posterior presentación a la Dirección General del Instituto.Se elaboró y presento a la oficina de fomento deportivo borrador de la resolución de modificación y actualización de la resolución 147 de junio de 2014 que creo el observatorio de ciencias aplicadas al deporte y la recreación en Cartagena de indias. Organismo adscrito al Instituto Distrital de Deporte y Recreación IDER,Se adelantan investigación preliminar para el desarrollo de una crónica histórico – deportiva relacionada con los escenarios deportivos en Cartagena para posterior elaboración y publicación, Se han venido adelantado con la universidad Rafael Núñez para desarrollar investigaciones a través del observatorio y la implementación del semillero de investigación de dicho organismo; En el marco de la alianza con la fundación Internacional de Educación Elyon Yireh se han venido realizando trabajos articulados en desarrollo del programa Diálogos Deportivos con la Comunidad, El Deporte como constructor de Paz. Para efectos de invitar a los estudiantes de la carrera técnica de entrenamiento deportivo de la entidad en mención al semillero de investigación del observatorio de ciencias aplicadas al deporte y la recreación </t>
    </r>
    <r>
      <rPr>
        <b/>
        <u/>
        <sz val="11"/>
        <color theme="1"/>
        <rFont val="Arial"/>
        <family val="2"/>
      </rPr>
      <t xml:space="preserve"> De enero a 10 de junio de 2025 :</t>
    </r>
    <r>
      <rPr>
        <sz val="11"/>
        <color theme="1"/>
        <rFont val="Arial"/>
        <family val="2"/>
      </rPr>
      <t xml:space="preserve">Se adelanta borrador en la contruccion de Política Gestión Del Conocimiento y La Innovación, esta se encuentra en un avance del 80%,Se caracterizo el perfil academinco de los docentes de las EIFD del area de Deporte y de los monitores de los juegos deportivos corrigimentales del Instituto IDER, Se realizó mesa de trabajo con la universidad Rafael Nuñez para la implementacion del semillero de investigación,  Se firma por parte de la direccion del IDER convenio con Coorporacion Universitaria mayor de Bolivar, convenio Universidad del Sinú, se realizaron diferentes actividades de aprociación social del conocimiento dentro de la que se encuentra congreso con la Corporación Universitaria Elyon Yireh , capacitación en temas recreativas y MIPG.  De enero a mayo de 2025: Generar alianzas para la producción de conocimiento científico sobre el sector deporte: Se elabora minuta sobre la propuesta del convenio marco con la Universidad Los Libertadores y se envía a la oficina jurídica del IDER para su estudio y posterior aprobación. Desarrollar encuentros científicos :Se trabaja en la realización del II Encuentro científico Cartagena 2033 - “Una visión de ciudad desde la mirada prospectiva del sector deportivo y recreativo” el cual se realizará en el segundo semestre del presente año.Implementar un banco de datos sobre el sector deporte. A través del sistema de información de deporte y recreación distrital se han continuado caracterizando los asistentes de los distintos eventos académicos durante el mes en mención.Se continua con el seguimiento al proceso de formación académica a los servidores del IDER con el objeto de fortalecer el capital humano del sector. En la actualidad, se realiza supervisión del desarrollo de la carrera técnica de eventos deportivos y recreativos que en asocio con el SENA viene realizando nuestra institución.
 </t>
    </r>
  </si>
  <si>
    <r>
      <rPr>
        <b/>
        <u/>
        <sz val="11"/>
        <color theme="1"/>
        <rFont val="Arial"/>
        <family val="2"/>
      </rPr>
      <t>A CORTE  30 DE JUNIO DE 2025 :</t>
    </r>
    <r>
      <rPr>
        <sz val="11"/>
        <color theme="1"/>
        <rFont val="Arial"/>
        <family val="2"/>
      </rPr>
      <t xml:space="preserve">Se adelantan investigación preliminar para el desarrollo de una crónica histórico – deportiva relacionada con los escenarios deportivos en Cartagena para posterior elaboración y publicación, Se trabaja en la realización del II Encuentro científico Cartagena 2033 - “Una visión de ciudad desde la mirada prospectiva del sector deportivo y recreativo” evento programado en el segundo semestre del 2025,, Se han venido adelantando gestiones con la Universidad Rafael Núñez para el desarrollo de una investigación cualitativa en uno de los programas que adelanta nuestro instituto. Para tal efecto se programó reunión virtual con dicha universidad y las personas encargadas de la coordinación de la Escuela de Iniciación y Formación Deportiva el día 26 de junio de 2025.  </t>
    </r>
    <r>
      <rPr>
        <b/>
        <u/>
        <sz val="11"/>
        <color theme="1"/>
        <rFont val="Arial"/>
        <family val="2"/>
      </rPr>
      <t>DE</t>
    </r>
    <r>
      <rPr>
        <sz val="11"/>
        <color theme="1"/>
        <rFont val="Arial"/>
        <family val="2"/>
      </rPr>
      <t xml:space="preserve"> </t>
    </r>
    <r>
      <rPr>
        <b/>
        <u/>
        <sz val="11"/>
        <color theme="1"/>
        <rFont val="Arial"/>
        <family val="2"/>
      </rPr>
      <t xml:space="preserve">ENERO A 10 DE JUNIO DE 2025 : </t>
    </r>
    <r>
      <rPr>
        <sz val="11"/>
        <color theme="1"/>
        <rFont val="Arial"/>
        <family val="2"/>
      </rPr>
      <t>Se concluyo la crónica y se público “ EL CAMINO DE LA CIENCIA EN EL DEPORTE Y LA RECREACIÓN EN CARTAGENA ” que hace un relato histórico de los antecedentes y las acciones realizadas a través de la Política Pública del Distrito con miras a la aplicación de ciencias al sector deportivo y recreativo en la ciudad.  Se trabajó en el documento técnico de formulación de la política pública de gestión del conocimiento. Resaltando la importancia de la implementación de la política de gestión del conocimiento y la innovación, los principios que la fundamentan, los objetivos generales y específicos, el marco jurídico, y las fases de la política de gestión del conocimiento</t>
    </r>
  </si>
  <si>
    <r>
      <rPr>
        <b/>
        <u/>
        <sz val="11"/>
        <color theme="1"/>
        <rFont val="Arial"/>
        <family val="2"/>
      </rPr>
      <t xml:space="preserve">A corte 30 de junio se reporta: </t>
    </r>
    <r>
      <rPr>
        <sz val="11"/>
        <color theme="1"/>
        <rFont val="Arial"/>
        <family val="2"/>
      </rPr>
      <t xml:space="preserve">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r>
  </si>
  <si>
    <r>
      <rPr>
        <b/>
        <u/>
        <sz val="11"/>
        <color theme="1"/>
        <rFont val="Arial"/>
        <family val="2"/>
      </rPr>
      <t xml:space="preserve">A corte30 de junio se reporta: </t>
    </r>
    <r>
      <rPr>
        <sz val="11"/>
        <color theme="1"/>
        <rFont val="Arial"/>
        <family val="2"/>
      </rPr>
      <t xml:space="preserve">
Se crearon cuatro (4) nuevos núcleos de la Escuela de Iniciación y Formación Deportiva:  el Pozón en Polideportivo CIC sector La Estrella, Tierra Baja en la Cancha Múltiple, Olaya Institución Educativa  San Felipe Neri y Arroyo Gra</t>
    </r>
  </si>
  <si>
    <r>
      <rPr>
        <b/>
        <u/>
        <sz val="11"/>
        <color theme="1"/>
        <rFont val="Arial"/>
        <family val="2"/>
      </rPr>
      <t xml:space="preserve">A corte de 30 de junio se reporta: </t>
    </r>
    <r>
      <rPr>
        <sz val="11"/>
        <color theme="1"/>
        <rFont val="Arial"/>
        <family val="2"/>
      </rPr>
      <t xml:space="preserve">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 </t>
    </r>
    <r>
      <rPr>
        <b/>
        <u/>
        <sz val="11"/>
        <color theme="1"/>
        <rFont val="Arial"/>
        <family val="2"/>
      </rPr>
      <t>A corte de 30 de junio se report</t>
    </r>
    <r>
      <rPr>
        <sz val="11"/>
        <color theme="1"/>
        <rFont val="Arial"/>
        <family val="2"/>
      </rPr>
      <t xml:space="preserve">a: 
•	Se está a la espera que se surta la convocatoria pública para la escogencia del operador logístico de los Juegos Intercolegiados.
                                                                                                                                                                                                                           </t>
    </r>
    <r>
      <rPr>
        <b/>
        <u/>
        <sz val="11"/>
        <color theme="1"/>
        <rFont val="Arial"/>
        <family val="2"/>
      </rPr>
      <t xml:space="preserve"> 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</si>
  <si>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r>
      <rPr>
        <b/>
        <u/>
        <sz val="11"/>
        <color theme="1"/>
        <rFont val="Arial"/>
        <family val="2"/>
      </rPr>
      <t xml:space="preserve">A corte de 30 de junio se reporta: </t>
    </r>
    <r>
      <rPr>
        <sz val="11"/>
        <color theme="1"/>
        <rFont val="Arial"/>
        <family val="2"/>
      </rPr>
      <t xml:space="preserve">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 </t>
    </r>
    <r>
      <rPr>
        <b/>
        <u/>
        <sz val="11"/>
        <color theme="1"/>
        <rFont val="Arial"/>
        <family val="2"/>
      </rPr>
      <t xml:space="preserve">A corte de 30 de junio se reporta: </t>
    </r>
    <r>
      <rPr>
        <sz val="11"/>
        <color theme="1"/>
        <rFont val="Arial"/>
        <family val="2"/>
      </rPr>
      <t xml:space="preserve">
•	Se está a la espera que se surta la convocatoria pública para la escogencia del operador logístico de los Juegos Intercolegiados.
                                                                                                                                                                                                                            </t>
    </r>
    <r>
      <rPr>
        <b/>
        <u/>
        <sz val="11"/>
        <color theme="1"/>
        <rFont val="Arial"/>
        <family val="2"/>
      </rPr>
      <t xml:space="preserve">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</si>
  <si>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r>
      <rPr>
        <b/>
        <u/>
        <sz val="11"/>
        <color theme="1"/>
        <rFont val="Arial"/>
        <family val="2"/>
      </rPr>
      <t xml:space="preserve">A corte de 30 de junio se reporta: </t>
    </r>
    <r>
      <rPr>
        <sz val="11"/>
        <color theme="1"/>
        <rFont val="Arial"/>
        <family val="2"/>
      </rPr>
      <t xml:space="preserve">
•	Se encuentran vinculadas 171 Instituciones Educativas, de las cuales se encuentran 86 oficiales y 85 no oficiales en la plataforma de los Juegos Intercolegiados Nacionales 2025.</t>
    </r>
  </si>
  <si>
    <r>
      <rPr>
        <b/>
        <u/>
        <sz val="11"/>
        <color theme="1"/>
        <rFont val="Arial"/>
        <family val="2"/>
      </rPr>
      <t xml:space="preserve">A corte 20 de junio de 2025:-	</t>
    </r>
    <r>
      <rPr>
        <sz val="11"/>
        <color theme="1"/>
        <rFont val="Arial"/>
        <family val="2"/>
      </rPr>
      <t xml:space="preserve">34.493 personas participantes 18.632 Mujeres y 15.861 Hombre en las estrategias y/o actividades de Aprovechamiento del Tiempo Libre y la Recreación Comunitaria para la Inclusión Social en el Distrito de Cartagena. </t>
    </r>
    <r>
      <rPr>
        <b/>
        <u/>
        <sz val="11"/>
        <color theme="1"/>
        <rFont val="Arial"/>
        <family val="2"/>
      </rPr>
      <t>CARTAGENA RECREATIVA</t>
    </r>
    <r>
      <rPr>
        <sz val="11"/>
        <color theme="1"/>
        <rFont val="Arial"/>
        <family val="2"/>
      </rPr>
      <t xml:space="preserve">: Se da cumplimento a la estrategia en este periodo, adelantando (4) acciones. 
Magnitud Ejecutada Acumulada en este periodo (293) Pasamos de (926) personas beneficiadas a (1219) , </t>
    </r>
    <r>
      <rPr>
        <b/>
        <u/>
        <sz val="11"/>
        <color theme="1"/>
        <rFont val="Arial"/>
        <family val="2"/>
      </rPr>
      <t>RECREACIÓN INCLUYENTE:</t>
    </r>
    <r>
      <rPr>
        <sz val="11"/>
        <color theme="1"/>
        <rFont val="Arial"/>
        <family val="2"/>
      </rPr>
      <t xml:space="preserve"> Se da cumplimento a la estrategia en este periodo, adelantando (3) acciones.
Magnitud Ejecutada Acumulada en este periodo (281) Beneficiados
Pasamos de (584) personas beneficiadas a (865)</t>
    </r>
    <r>
      <rPr>
        <b/>
        <u/>
        <sz val="11"/>
        <color theme="1"/>
        <rFont val="Arial"/>
        <family val="2"/>
      </rPr>
      <t xml:space="preserve"> ,  INSTITUCIONES ACTIVAS: </t>
    </r>
    <r>
      <rPr>
        <sz val="11"/>
        <color theme="1"/>
        <rFont val="Arial"/>
        <family val="2"/>
      </rPr>
      <t xml:space="preserve">Se da cumplimento a la estrategia en este periodo, adelantando (9) acciones.
Magnitud Ejecutada Acumulada en este periodo (1839) 
Pasamos de (14.239) personas beneficiadas a (16078),, </t>
    </r>
    <r>
      <rPr>
        <b/>
        <u/>
        <sz val="11"/>
        <color theme="1"/>
        <rFont val="Arial"/>
        <family val="2"/>
      </rPr>
      <t>CAMPAMENTOS JUVENILES :</t>
    </r>
    <r>
      <rPr>
        <sz val="11"/>
        <color theme="1"/>
        <rFont val="Arial"/>
        <family val="2"/>
      </rPr>
      <t>Se da cumplimento a la estrategia en este periodo, adelantando (2) acciones.
Magnitud Ejecutada Acumulada en este periodo (639) Pasamos de (1400) personas beneficiadas a (2039),</t>
    </r>
    <r>
      <rPr>
        <b/>
        <u/>
        <sz val="11"/>
        <color theme="1"/>
        <rFont val="Arial"/>
        <family val="2"/>
      </rPr>
      <t xml:space="preserve"> ACTIVATE MAYOR : </t>
    </r>
    <r>
      <rPr>
        <sz val="11"/>
        <color theme="1"/>
        <rFont val="Arial"/>
        <family val="2"/>
      </rPr>
      <t xml:space="preserve">Se da cumplimento a la estrategia en este periodo, adelantando (13) acciones.Magnitud Ejecutada Acumulada en este periodo (696) Pasamos de (291) personas beneficiadas a (987), </t>
    </r>
    <r>
      <rPr>
        <b/>
        <u/>
        <sz val="11"/>
        <color theme="1"/>
        <rFont val="Arial"/>
        <family val="2"/>
      </rPr>
      <t>ESCUELA RECREATIVA.S</t>
    </r>
    <r>
      <rPr>
        <sz val="11"/>
        <color theme="1"/>
        <rFont val="Arial"/>
        <family val="2"/>
      </rPr>
      <t>e mantiene el número de beneficiados en las sesiones lúdicas permanentes de este periodo con 1602 beneficiados, de los cuales 833 son mujeres y 769 son hombres.Se da cumplimento a la estrategia en este periodo, adelantando (11) acciones.Magnitud Ejecutada Acumulada en este periodo (705) Pasamos de (4659) personas beneficiadas a (5.364),</t>
    </r>
    <r>
      <rPr>
        <b/>
        <u/>
        <sz val="11"/>
        <color theme="1"/>
        <rFont val="Arial"/>
        <family val="2"/>
      </rPr>
      <t xml:space="preserve">ACTIVIDADES DE RECREACIÓN PARA EL GOCE Y APROVECHAMINETO DEL ESPACIO PUBLICO:Se da </t>
    </r>
    <r>
      <rPr>
        <sz val="11"/>
        <color theme="1"/>
        <rFont val="Arial"/>
        <family val="2"/>
      </rPr>
      <t>cumplimento a la estrategia en este periodo, adelantando (18) acciones.Magnitud Ejecutada Acumulada en este periodo (2221) Beneficiados Pasamos de (5045) personas beneficiadas a (7.266).</t>
    </r>
    <r>
      <rPr>
        <b/>
        <u/>
        <sz val="11"/>
        <color theme="1"/>
        <rFont val="Arial"/>
        <family val="2"/>
      </rPr>
      <t xml:space="preserve">
A corte 10 de junio de 2025: </t>
    </r>
    <r>
      <rPr>
        <b/>
        <sz val="11"/>
        <color theme="1"/>
        <rFont val="Arial"/>
        <family val="2"/>
      </rPr>
      <t>Proyecto Aprovechamiento del Tiempo Libre y la Recreación Comunitaria para la Inclusión Social en el Distrito de Cartagena de Indias. Para dar cumplimiento a este proyecto desde el área se implementaron las siguientes estrategias:</t>
    </r>
    <r>
      <rPr>
        <sz val="11"/>
        <color theme="1"/>
        <rFont val="Arial"/>
        <family val="2"/>
      </rPr>
      <t xml:space="preserve"> 1- “Campañas y Talleres en Técnicas de Recreación” en articulación con las instituciones educativas presentamos una cifra acumulada de 109 personas beneficiadas, Mujeres (63) Hombres (46) 2- “Recréate Cartagena” las acciones desarrolladas desde el proyecto, presentamos una cifra acumulada de 1034 personas beneficiadas, Mujeres (611) Hombres (423) 3- “Recréate Incluyente” las acciones desarrolladas desde el proyecto, presentamos una cifra acumulada de 824 personas beneficiadas, Mujeres (401) Hombres (423) 4- “Instituciones Activas” las acciones desarrolladas desde el proyecto, presentamos una cifra acumulada de 15.322 personas beneficiadas, Mujeres (7.585) Hombres (7.737) 5- “Campamentos Juveniles” las acciones desarrolladas desde el proyecto, presentamos una cifra acumulada de 2.021 personas beneficiadas, Mujeres (1.123) Hombres (898) 6- “Actívate Mayor” las acciones desarrolladas desde el proyecto, presentamos una cifra acumulada de 699 personas beneficiadas, Mujeres (487) Hombres (212).7- “Escuela Recreativa” las acciones desarrolladas desde el proyecto, presentamos una cifra
acumulada de 5.079 personas beneficiadas, Mujeres (3.161) Hombres (1.918)
8- “Recreación apara el aprovechamiento del espacio Público” las acciones desarrolladas desde
el proyecto, presentaron una cifra acumulada de 6.770 personas beneficiadas, Mujeres (3.750)
Hombres (3.020)
Nota: Reportamos de forma especial la Ciclovía de Ciudad, realizada en el Barrio 13 de junio, con un total
de 240 personas asistentes. Mujeres (107) Hombres (133). Estadísticas que se encuentran inmersas en las
cifras de Aprovechamiento del Espacio Público.</t>
    </r>
  </si>
  <si>
    <r>
      <rPr>
        <b/>
        <u/>
        <sz val="11"/>
        <color theme="1"/>
        <rFont val="Arial"/>
        <family val="2"/>
      </rPr>
      <t>A corte de 30 de junio se reporta</t>
    </r>
    <r>
      <rPr>
        <sz val="11"/>
        <color theme="1"/>
        <rFont val="Arial"/>
        <family val="2"/>
      </rPr>
      <t xml:space="preserve">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REUNIONES Y SOCIALIZACIONES
•	11 junio se realizó mesa de trabajo Deporte Social Comunitario para seguimiento de los juegos de la inclusión 
•	Se realizó reunión con equipo de trabajo para programar actividades en las comunidades los días 11, 12 y 13 de junio
•	En este periodo se desarrollaron los Juegos De La Discapacidad 
•	Desarrollo de los Juegos Carcelarios que se llevaron a cabo en los Centros Penitenciarios: 
Cárcel de Mujeres: Kickball en reemplazo de Golito
Cárcel san Sebastián de Ternera- Hombres: Futbol, Softbol, Futbol de Salón, Baloncesto y Juegos de Mesa.
•	21 de junio, Mesa de trabajo con el equipo de discapacidad para evaluar desarrollo de los Juegos de la Inclusión 2025 – Discapacidad fortalezas y debilidades para mejorar en cada una de las actividades, además realizar ajustes en las programaciones que están para ejecutar finalizando mes de junio y julio 2025. Oficina de las Escuelas de Formación- IDER Complejo Acuático.
•	24 junio, reunión equipo de trabajo Comunales para planificación de actividades.
</t>
    </r>
    <r>
      <rPr>
        <b/>
        <u/>
        <sz val="11"/>
        <color theme="1"/>
        <rFont val="Arial"/>
        <family val="2"/>
      </rPr>
      <t>A corte de 10 de junio de 2025, se reporta</t>
    </r>
    <r>
      <rPr>
        <sz val="11"/>
        <color theme="1"/>
        <rFont val="Arial"/>
        <family val="2"/>
      </rPr>
      <t xml:space="preserve">
•	Se realizó mesa de trabajo Deporte Social Comunitario para seguimiento de los juegos de la inclusión 
•	Se realizó reunión con equipo de trabajo para programar actividades en las comunidades los dias 11, 12 y 13 de junio
•	En este periodo se desarrollaron los juegos de la discapacidad en las disciplinas de Golito y Futsala
•	Desarrollo de los Juegos Carcelarios que se llevaron a cabo en los Centros Penitenciarios: 
Cárcel de Mujeres: Kickball en reemplazo de Golito
Cárcel san Sebastián de Ternera- Hombres: Futbol, Softbol, Futbol de Salón, Baloncesto.</t>
    </r>
    <r>
      <rPr>
        <b/>
        <u/>
        <sz val="11"/>
        <color theme="1"/>
        <rFont val="Arial"/>
        <family val="2"/>
      </rPr>
      <t xml:space="preserve"> A corte de mayo de 2025: </t>
    </r>
    <r>
      <rPr>
        <sz val="11"/>
        <color theme="1"/>
        <rFont val="Arial"/>
        <family val="2"/>
      </rPr>
      <t>Las acciones realizadas fueron las  siguientes :Actividades Predeportivas regulares,  Actividades predeportivas conmemoración al día del niño en la IE Pedro Romero, Actividad predeportiva adaptada de futbol Sala Personas con discapacidad desarrollaron actividades de coordinación y técnicas con el balón, Entrenamientos de natación de forma regular para personas con discapacidad, Actividad predeportiva adaptada de futbol sala Personas con discapacidad, Socialización de los Juegos Distritales de la Discapacidad 2025 para los deportistas, presidentes de clubes deportivos, Comité Distrital y Local de Discapacidad, Líderes comunitarios, Alcaldías locales, actividad predeportiva de atletismo se realizaron circuitos, pruebas de velocidad y coordinación. Discapacidad, Actividad predeportiva con personas con discapacidad de la Fundación REI, Actividad predeportiva con personas con discapacidad de Inclusivo Fundación  Iniciar procesos deportivos y motivarlos a participar en los próximos Juegos Distritales de la Discapacidad 2025, Actividad de natación con personas con discapacidad de la Fundación El Rosario, Actividad predeportiva de atletismo Personas con discapacidad de la Corporación Mente Activa..</t>
    </r>
  </si>
  <si>
    <t xml:space="preserve">De enero a  junio de 2025: Se impulsaron y apoyaron  cuatro(4)  eventos recreativos y de hábitos , los cuales son los siguientes:  Se impusaron un (1) evento recreativo , el cual fue: Open Latino de Kangoo,celebración del mes de la Mujer y de las Madres.De enero a  junio de 2025: De los cuatro eventos recreativos y de hábitos se beneficiaron a 17.493 personas aproximadamente. </t>
  </si>
  <si>
    <t xml:space="preserve"> Se realizarán en el segundo trimestre de 2025 y de acuerdo a lo estipulado en la adicional del contrato de los Juegos de Inclusión </t>
  </si>
  <si>
    <t xml:space="preserve"> Se realizarán en el segundo trimestre de 2025 y  de acuerdo a lo estipulado en la adicional del contrato de los Juegos de Inclusión </t>
  </si>
  <si>
    <t>Mantener cincuenta y cinco (55) núcleos de educación física extraescolar </t>
  </si>
  <si>
    <t>Núcleos de educación física extraescolar mantenidos.</t>
  </si>
  <si>
    <t xml:space="preserve">SI SI </t>
  </si>
  <si>
    <t>SI</t>
  </si>
  <si>
    <t>A corte 30 de junio se reporta: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</si>
  <si>
    <r>
      <rPr>
        <b/>
        <u/>
        <sz val="11"/>
        <color theme="1"/>
        <rFont val="Arial"/>
        <family val="2"/>
      </rPr>
      <t>A corte este periodo :</t>
    </r>
    <r>
      <rPr>
        <sz val="11"/>
        <color theme="1"/>
        <rFont val="Arial"/>
        <family val="2"/>
      </rPr>
      <t xml:space="preserve"> Se encuentran mantenidos 55 núcleos de Iniciación y Formación Deportiva, en las tres localidades del Distrito de Cartagena.</t>
    </r>
  </si>
  <si>
    <t>ACUMULADO 2024</t>
  </si>
  <si>
    <t>ACUMULADO 2025</t>
  </si>
  <si>
    <t>ACUMULADO 2026</t>
  </si>
  <si>
    <t>ACUMULADO 2027</t>
  </si>
  <si>
    <t>ACUMULADO CUATRIENIO</t>
  </si>
  <si>
    <t>REPORTE META PRODUCTO DE  MARZO 2025</t>
  </si>
  <si>
    <t>REPORTE META PRODUCTO DE   JUNIO 2025</t>
  </si>
  <si>
    <t>REPORTE META PRODUCTO DE  SEPTIEMBRE 2025</t>
  </si>
  <si>
    <t>AVANCE META PRODUCTO AL AÑO (PONDERADO)</t>
  </si>
  <si>
    <t>AVANCE META PRODUCTO AL CUATRIENIO (PONDERADO)</t>
  </si>
  <si>
    <t>AVANCE META PRODUCTO AL AÑO (SIMPLE)</t>
  </si>
  <si>
    <t>AVANCE META PRODUCTO AL CUATRIENIO (SIMPLE)</t>
  </si>
  <si>
    <t>AVANCES Y RESULTADOS</t>
  </si>
  <si>
    <t>REPORTES META PRODUCTO</t>
  </si>
  <si>
    <t>ACUMULADOS</t>
  </si>
  <si>
    <t>PROGRAMACIÓN META PRODUCTO</t>
  </si>
  <si>
    <t xml:space="preserve">DATOS GENERALES </t>
  </si>
  <si>
    <t>INSTITUTO DE DEPORTE Y RECREACION</t>
  </si>
  <si>
    <t>REPORTE ACTIVIDADES PROYECTO DE  ABRIL A JUNIO 2025</t>
  </si>
  <si>
    <t>REPORTE ACTIVIDADES PROYECTO DE  JULIO A SEPTIEMBRE 2025</t>
  </si>
  <si>
    <t>REPORTE ACTIVIDADES PROYECTO DE  OCTUBRE A DICIEMBRE 2025</t>
  </si>
  <si>
    <t>REPORTE ACTIVIDADES PROYECTO DE  ENERO A MARZO 2025</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</si>
  <si>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</si>
  <si>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</si>
  <si>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</si>
  <si>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</si>
  <si>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</si>
  <si>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</si>
  <si>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</si>
  <si>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</si>
  <si>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</si>
  <si>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</si>
  <si>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</si>
  <si>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</si>
  <si>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</si>
  <si>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</si>
  <si>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</si>
  <si>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</si>
  <si>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</si>
  <si>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</si>
  <si>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</si>
  <si>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</si>
  <si>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</si>
  <si>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</si>
  <si>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Avance pptal del Proyecto</t>
  </si>
  <si>
    <t>|</t>
  </si>
  <si>
    <t xml:space="preserve">                                                                                                  PLANTEAMIENTO ESTRATÉGICO- PLAN DE DESARROLLO</t>
  </si>
  <si>
    <t>Avance Plan de acción Institucional a corte sept 15</t>
  </si>
  <si>
    <t>Avance Plan de Desarrollo al Cuatrienio</t>
  </si>
  <si>
    <t>Ejecución Proyectos IDER a sept 15</t>
  </si>
  <si>
    <t xml:space="preserve">Ejecución Presupuestal Según Compromisos </t>
  </si>
  <si>
    <t xml:space="preserve">Ejecución Presupuestal Según Obligaciones </t>
  </si>
  <si>
    <t>Ejecución Presupuestal (compromisos)</t>
  </si>
  <si>
    <t>Ejecución Presupuestal (obligaciones)</t>
  </si>
  <si>
    <t xml:space="preserve"> Fortalecimiento del conocimiento y ciencias aplicadas al sector Deporte y Recreación en Bolívar y  Cartagena de Indias</t>
  </si>
  <si>
    <t xml:space="preserve"> Implementación de la Escuela de Iniciación y Formación Deportiva - EIFD en  Cartagena de Indias</t>
  </si>
  <si>
    <t xml:space="preserve"> Aprovechamiento del tiempo libre y Recreación Comunitaria para la inclusión social en  Cartagena de Indias</t>
  </si>
  <si>
    <t>Avance Físico sept</t>
  </si>
  <si>
    <t>AVANCES PROYECTO IDER SEPT 2025</t>
  </si>
  <si>
    <t>Apropiaciones presupuestales</t>
  </si>
  <si>
    <t>Ejecucion pptal porcentual sept 15</t>
  </si>
  <si>
    <t>Apropiacion Inicial</t>
  </si>
  <si>
    <t>Apropiacion Vigente</t>
  </si>
  <si>
    <t>Ejecucion por compromisos</t>
  </si>
  <si>
    <t>Ejecucion por obligaciones</t>
  </si>
  <si>
    <t>Concepto</t>
  </si>
  <si>
    <t>Avance junio</t>
  </si>
  <si>
    <t>Avance Sept 15</t>
  </si>
  <si>
    <t>Crecimiento</t>
  </si>
  <si>
    <t xml:space="preserve">Plan de accion institucional </t>
  </si>
  <si>
    <t>Ejecución de Proyectos</t>
  </si>
  <si>
    <t>Ejecución Presupuestal por Compromisos</t>
  </si>
  <si>
    <t>Ejecución Presupuestal por Obligaciones</t>
  </si>
  <si>
    <t>Plan de Desarrollo al Cuatrienio</t>
  </si>
  <si>
    <t>AVANCE ESTRATEGICO</t>
  </si>
  <si>
    <t>EJECUCION PRESUPUESTAL</t>
  </si>
  <si>
    <t>PROGRAMAS</t>
  </si>
  <si>
    <t>AÑO</t>
  </si>
  <si>
    <t>CUATRIENIO</t>
  </si>
  <si>
    <t>COMPROMISOS</t>
  </si>
  <si>
    <t>OBLIGACIONES</t>
  </si>
  <si>
    <t>Fortalecimiento y Mantenimiento de la red de infraestructura deportiva del Distrito</t>
  </si>
  <si>
    <t>Fomento al deporte de alto rendimiento</t>
  </si>
  <si>
    <t xml:space="preserve"> Fortalecimiento del capital humano a atraves de las ciencias aplicadas al deporte y la recreacion</t>
  </si>
  <si>
    <t>Fortalecimiento del deporte formativo estudiantil y la educacion fisica extraescolar</t>
  </si>
  <si>
    <t>Fortalecimiento del deporte social comunitario,avanzar en nuestro territorio</t>
  </si>
  <si>
    <t xml:space="preserve"> Promocion de habitos y estilos de vida saludable,recreacion,actividad fisica y el aprovechamiento del tiempo libre en el distrito de cartagena</t>
  </si>
  <si>
    <t xml:space="preserve">Cartagena ciudad destino de turismo deportivo </t>
  </si>
  <si>
    <t xml:space="preserve"> Desarrollo humano bienestar social de las comunidades negras,afrocolombianas,raizales y palenqueras</t>
  </si>
  <si>
    <t xml:space="preserve"> Atencion integral para las comunidades indigenas</t>
  </si>
  <si>
    <t>REPORTE META PRODUCTO DE  Diciembre 2025</t>
  </si>
  <si>
    <t>AVANCE PLAN DE ACCION IDER DICIEMBRE 2025</t>
  </si>
  <si>
    <t>Jornadas de sensibilizacion realizadas</t>
  </si>
  <si>
    <t>Material de divulgacion generado</t>
  </si>
  <si>
    <t xml:space="preserve">Avance presupuestal del IDER DIC DE 2025 </t>
  </si>
  <si>
    <t>OBSERVACIONES
 https://idergov-my.sharepoint.com/:f:/g/personal/planeacion_ider_gov_co/Eo6fqEFvyIlFsbzJiq0zBbkBhq05_AleAKVdonLzreAc7A?e=RceM8z</t>
  </si>
  <si>
    <t>A CORTE  DE DICIEMBRE  DE 2025: La cancha de Fútbol  sintética Villas de la Candelaria presenta un 100% de avance ejecutado acumulado.   A CORTE DE NOVIEMBRE DE 2025:   La cancha de Fútbol  sintética Villas de la Candelaria presenta un 85% de avance ejecutado acumulado. A CORTE DE OCTUBRE DE 2025:    La cancha de Fútbol  sintética Villas de la Candelaria presenta un 67% de avance ejecutado acumulado.   A  CORTE DE SEPTIEMBRE DE 2025:  La Unidad Recreativa y Deportiva de  Villas de la Candelaria se encuentra en 40% de avance de obra . A corte 31 de julio de 2025 :     o	CONTRATO No. 800-2025
GERENCIA INTEGRAL DEL PROYECTO “CONSTRUCCIÓN, RECONSTRUCCIÓN Y ADECUACIÓN DE ESCENARIOS DEPORTIVOS DEL DISTRITO DE CARTAGENA”.
INVERSIÓN TOTAL: $10.946.594.165,83   LOCALIDAD 1 HISTÓRICA Y DEL CARIBE NORTE, UCG 1
N° DE BENEFICIARIOS: 6.768, LOCALIDAD 2 DE LA VIRGEN Y TURÍSTICA UCG 6. se encuentra la siguiente obra :  Construcción URD  Villas de la Candelaria 2 valor: $2.054.620.230   Porcentaje de Avance Ejecutado Acumulado: 20% avances en Localización Replanteo,  Cerramiento perimetral en lona verde., Construcción de campamento Perimetral., Descapote, Demolición de placas existentes, Retiro de Material de Desmonte.. Se iniciarán  la construcción de nuevos escenarios deportivos en el segundo semestre del año 2025 con recursos de incorporación en el presupuesto de inversión del Distrito de Cartagena de Indias asignado al Despacho del Alcalde , vigencia fiscal 2025. (Decreto No. 1644 del 26 de junio de 2025). Los escenarios son : El Coliseo del Norte , por valor de $ 37.915.567.964, Centro Deportivo Bayunca por valor de $14.798.026.750 y Escenario Recreo-Deportivo Manzanillo por valor de $11.819.469.028</t>
  </si>
  <si>
    <t xml:space="preserve">A CORTE DE DICIEMBRE DE 2025:     La reconstrucción de la cancha sintetica del barrio Fredonia presenta un avance de obra del 100% y el Parque Flanagan un avance del  100%. A CORTE DE NOVIEMBRE DE 2025:     La reconstrucción de la cancha sintética del barrio Fredonia presenta un avance de obra del 90% y el Parque Flanagan un avance del  100%.   A CORTE DE  OCTUBRE DE 2025:     La reconstrucción de la cancha sintetica del barrio Fredonia presenta un avance de obra del 63% y el Parque Flanagan un avance del  90%.    </t>
  </si>
  <si>
    <t xml:space="preserve">A CORTE DE DICIEMBRE DE 2025:A la fecha de este informe,se han realizado 299 acciones de Mantenimiento Preventivo Recurrente (MPR) a Escenarios Deportivos de enero a diciembre de 2025, distribuidas en la Localidad No.1 Histórica y del Caribe Norte por 97 escenarios, Localidad No.2 De la Virgen y Turística por 93 escenarios  y Localidad No.3 Industrial y de la Bahía por 109 escenarios. El Parque Centenario  el mejoramiento y adecuación de las canchas se encuentran en  avance de obra del  100%	Con relación a la autorización permisos para el uso temporal y/o permanente de los escenarios deportivos la población que se busca impactar por el uso y disfrute de los escenarios deportivos y recreativos, hemos logrado generar un total de 1.306 permisos expedidos y así impactar a 115.764 personas entre Deportistas, Entrenadores, Administrativos y Aficionados; estadísticas que se obtienen de la contabilización por permisos, obviando la recurrencia de los días que ingresan a los escenarios deportivos.A corte de 31 de Diciembre se registra un total de 217 permisos, categorizados por Deportistas (D), Entrenadores (E), Administrativos (AD) y Aficionados (AF), con un estimado de 362.556 usuarios personas.Para el buen funcionamiento de los escenarios deportivos es necesario contar con los servicios públicos. A la fecha se encuentran al día con los pagos de los servicios públicos de los escenarios deportivos con corte mes de noviembre de 2025. o	CONTRATO No. 1048-2025
“MEJORAMIENTO Y ADECUACIÓN DEL TEMPLO DEL FUTBOL MENOR, UBICADO EN EL BARRIO ALAMEDA LA VICTORIA, DISTRITO DE CARTAGENA”.
INVERSIÓN TOTAL: $ 10.738.363.919,00 LOCALIDAD 3 INDUSTRIAL Y DE LA BAHÍA UCG 14, N° DE BENEFICIARIOS: 5.292
Estado: 66% Avance Ejecutado Acumulado (SUSPENDIDA). o	CONTRATO INTERVENTORÍA No. 1049-2025
“INTERVENTORÍA INTEGRAL AL PROYECTO DE MEJORAMIENTO Y ADECUACIÓN DEL TEMPLO DEL FUTBOL MENOR, UBICADO EN EL BARRIO ALAMEDA LA VICTORIA, DISTRITO DE CARTAGENA”. INVERSIÓN TOTAL: $ 528.440.920,00,  LOCALIDAD 3 INDUSTRIAL Y DE LA BAHÍA UCG 14, N° DE BENEFICIARIOS: 5.292, Estado: 66% Avance Ejecutado Acumulado (SUSPENDIDA).    A CORTE DE NOVIEMBRE DE 2025: A la fecha de este informe, se han realizado 294 acciones de Mantenimiento Preventivo Recurrente (MPR) a Escenarios Deportivos, por lo menos una vez en lo que va corrido del año, de Enero a 30 de Noviembre 2025.Distribuidas en la Localidad No.1 Histórica y del Caribe Norte por 92 escenarios, Localidad No.2 De la Virgen y Turística por 92 escenarios  y Localidad No.3 Industrial y de la Bahía por 107 escenarios.   El Parque Centenario  el mejoramiento y adecuación de las canchas se encuentran en  avance de obra del  90%. A corte de 30 de Noviembre se registra un total de 235 permisos, categorizados por Deportistas (D), Entrenadores (E), Administrativos (AD) y Aficionados (AF), con un estimado de 169.925 usuarios personas.Para el buen funcionamiento de los escenarios deportivos es necesario contar con los servicios públicos. A la fecha se encuentran al día con los pagos de los servicios públicos de los escenarios deportivos con corte mes de Octubre 2025. A corte de 30 de Noviembre se registra un total de 235 permisos, categorizados por Deportistas (D), Entrenadores (E), Administrativos (AD) y Aficionados (AF), con un estimado de 169.925 usuarios personas.Con relación a la autorización permisos para el uso temporal y/o permanente de los escenarios deportivos la población que se busca impactar por el uso y disfrute de los escenarios deportivos y recreativos, hemos logrado generar un total de 1.225 permisos expedidos y así impactar a 90.757 personas entre Deportistas, Entrenadores, Administrativos y Aficionados; estadísticas que se obtienen de la contabilización por permisos, obviando la recurrencia de los días que ingresan a los escenarios deportivos.CONTRATO No. 1048-2025.
“MEJORAMIENTO Y ADECUACIÓN DEL TEMPLO DEL FUTBOL MENOR, UBICADO EN EL BARRIO ALAMEDA LA VICTORIA, DISTRITO DE CARTAGENA”.
INVERSIÓN TOTAL: $ 10.738.363.919,00, LOCALIDAD 3 INDUSTRIAL Y DE LA BAHÍA, UCG 14, N° DE BENEFICIARIOS: 5.292, Estado: 40% de avance.
 A CORTE DE OCTUBRE DE 2025:  El Parque Centenario  el mejoramiento y adecuación de las canchas se encuentran en  avance de obra del  38%.  A corte de 31 de Octubre se registra un total de 252 permisos, categorizados por Deportistas (D), Entrenadores (E), Administrativos (AD) y Aficionados (AF), con un estimado de 166.350 usuarios personas.Para el buen funcionamiento de los escenarios deportivos es necesario contar con los servicios públicos. A la fecha se encuentran al día con los pagos de los servicios públicos de los escenarios deportivos con corte mes de Septiembre 2025.Con relación a la autorización permisos para el uso temporal y/o permanente de los escenarios deportivos la población que se busca impactar por el uso y disfrute de los escenarios deportivos y recreativos, hemos logrado generar un total de 1.173 permisos expedidos y así impactar a 86.262 personas entre Deportistas, Entrenadores, Administrativos y Aficionados; estadísticas que se obtienen de la contabilización por permisos, obviando la recurrencia de los días que ingresan a los escenarios deportivos.
o	CONTRATO No. 1048-2025
“MEJORAMIENTO Y ADECUACIÓN DEL TEMPLO DEL FUTBOL MENOR, UBICADO EN EL BARRIO ALAMEDA LA VICTORIA, DISTRITO DE CARTAGENA”.
INVERSIÓN TOTAL: $ 10.738.363.919,00
LOCALIDAD 3 INDUSTRIAL Y DE LA BAHÍA
UCG 14
N° DE BENEFICIARIOS: 5.292
Estado: ACTA DE INICIO 9 de Septiembre
    A CORTE DE SEPTIEMBRE DE 2025:  El Parque Centenario  el mejoramiento y adecuación de las canchas se encuentran en  avance de obra del  30%. A CORTE DE SEPTIEMBRE DE 2025: o	CONTRATO No. 1048-2025
“MEJORAMIENTO Y ADECUACIÓN DEL TEMPLO DEL FUTBOL MENOR, UBICADO EN EL BARRIO ALAMEDA LA VICTORIA, DISTRITO DE CARTAGENA”., INVERSIÓN TOTAL: $ 10.738.363.919,00, LOCALIDAD 3 INDUSTRIAL Y DE LA BAHÍA, UCG 14, N° DE BENEFICIARIOS: 5.292
Estado: ACTA DE INICIO 9 de Septiembre, o	CONTRATO INTERVENTORÍA No. 1049-2025, “INTERVENTORÍA INTEGRAL AL PROYECTO DE MEJORAMIENTO Y ADECUACIÓN DEL TEMPLO DEL FUTBOL MENOR, UBICADO EN EL BARRIO ALAMEDA LA VICTORIA, DISTRITO DE CARTAGENA”., INVERSIÓN TOTAL: $ 528.440.920,00, LOCALIDAD 3 INDUSTRIAL Y DE LA BAHÍA, UCG 14, N° DE BENEFICIARIOS: 5.292
Estado: ACTA DE INICIO 9 de Septiembre. </t>
  </si>
  <si>
    <t xml:space="preserve">DE ENERO A DICIEMBRE DE 2025: Se lograron beneficiar a través de incentivos y estímulos a 382 deportistas.  DE ENERO A NOVIEMBRE DE 2025 : Se beneficiaron a seis (6) deportistas con  incentivos y estímulos a través de resoluciones asi como también se beneficiaron a 136 deportistas con estímulos o incentivos en especie , estos deportistas pertenecen a las disciplinas de Fútbol de Salón y de Fútbol , para un total de 382 deportistas de enero a noviembre de 2025.   A CORTE DE OCTUBRE DE 2025: A este periodo se han beneficiado a 237 deportistas incluyendo el convenio de asociación con la Liga de Tenis .  A CORTE DE SEPTIEMBRE DE 2025: Se entregaron dos (2) estímulos a deportistas de alto rendimiento a través de las resoluciones No. 361 y 367 . Para  un total de 236 deportitas beneficiados.de enero a septiembre de 2025.   A CORTE DE AGOSTO DE 2025: •	Se otorgaron 14 becas a deportistas gestionadas por IDER en convenio institucionales con las universidades del distrito a continuación se relacionan los deportistas beneficiado por las becas Fondo Inclusivo. •	Se relacionan estímulos otorgaron a los siguientes deportistas con el propósito de reconocer y apoyar su dedicación, esfuerzo y logros en el ámbito deportivo. Estos estímulos están diseñados para fortalecer su proceso de formación, preparación y participación en competencias, ayudándolos a alcanzar un desempeño óptimo en sus respectivas disciplinas asi como también se entregaron otros estímulos a deportistas a través de resoluciones No. 295, 305,308 y 315.del 2025  Para un total de 234 deportistas beneficiados.  A corte de julio de 2025:  Se entregaron estímulos e incentivos a  doscientos catorce (214) deportitas a través de la Resoluciones No. 005. 007, 017, 086, 095, 123, 204 ,213 y 243 del 2025, además de convenios de asociación. </t>
  </si>
  <si>
    <t>DE ENERO A DICIEMBRE DE 2025: Se entregaron seis (6) estímulos e incentivos a organismos deportivos a través de resoluciones asi como también se dieron en incentivos y estímulos en especie como los prestamos de los escenarios deportivos para un total de 100 organismos deportivos.  DE ENERO A NOVIEMBRE DE 2025 :  Se entregaron estímulos e incentivos a través de prestamos de escenarios deportivos aproximadamente a 41 organismos deportivos para un total de 94 incentivos y estímulos otorgados a organismos deportivos. DE ENERO A OCTUBRE DE 2025 : Se entregaron estímulos e incentivos a cincuenta y tres  (53) organismos deportivos a través de las Resoluciones No. 045, 046,047,048, 050, 051, 052, 079,080,081,082, 083,084, 085, 103 , 104, 108, 109,110, 117,119,120,121, 122 , 138, 139, 150, 156 ,172, 173,174,175,177, 190, 218, 234, 235, 236, 241, 248,250,251,256,257, 258, 262,263, 267, 295, 302 , 312, 314 y 406  del 2025 y Convenio de Asociación 574 del 2025,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46 actos administrativos de procesos de reconocimiento deportivos de diferentes clubes deportivos.De enero a mayo de 2025: •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33 actos administrativos de procesos de reconocimiento deportivos de diferentes clubes deportivos.</t>
  </si>
  <si>
    <t xml:space="preserve">A CORTE DE DICIEMBRE DE 2025:  Se proyecta el envío para diagramación de la crónica histórica deportiva sobre la halterofilia en Cartagena; publicación que se hará antes de concluir el 2025 en la revista digital Sinergia, se elaboró la Politica Pública de Gestión del Conocimiento y la Innovación del Instituto en el marco de las dimensiones del Modelo Integrado de Planeación y Gestión MIPG, se continúa con el trabajo de acompañamiento a los deportistas en su intención de acceder a los programas de estudios universitarios adelantados por el gobierno. Brindándoles orientación en el proceso de inscripción y haciéndole seguimiento a su proceso en las diferentes universidades. A CORTE DE NOVIEMBRE DE  2025 : Se realizó  Crónica El Sueño de Oro de la Halterofilia Cartagenera tomando como referencia al Deportista Rafael Cerro. Cumplido el proceso de diagramación y revisión de la crónica GETSEMANÍ UNA DE LAS CUNAS DEL DEPORTE Y JUEGOS TRADICIONALES EN CARTAGENA. Se deja lista para su publicación. Se trabaja en la recopilación y organización del material para la publicación de la Revista Sinergia 2025. La cual incluirá las crónicas histórico-deportivas publicadas en el presente año, los artículos de investigación científicas derivados de las actividades realizadas por los estudiantes en calidad de practicas de las universidades en convenio con el IDER y otros temas deportivos y recreativos de relevancia acontecidos durante la presente vigencia.Contamos con la realización de Politica de Gestión del Conocimiento y la Innovación , la cual será públicada en el mes de diciembre de 2025.        A CORTE DE OCTUBRE DE 2025:   Publicación GETSEMANÍ UNA DE LAS CUNAS DEL DEPORTE Y JUEGOS TRADICIONALES EN CARTAGENA. Se deja lista para su publicación. A CORTE DE SEPTIEMBRE DE 2025 :Se cumple con la revisión final de la crónica GETSEMANÍ UNA DE LAS CUNAS DEL DEPORTE Y JUEGOS TRADICIONALES EN CARTAGENA, Se envía crónica a prensa para la diagramación y posterior publicación..A través del sistema de información distrital de deporte y recreación se han venido continuando con la caracterización de los asistentes a los distintos eventos deportivos, recreativos y académicos durante el mes de septiembre de 2025.A CORTE DE AGOSTO DE 2025: Se concluye crónica sobre la historia del deporte y los juegos tradicionales en el barrio Getsemaní, Una vez concluida y revisada la crónica, se remite a la oficina de prensa para su diagramación y publicación.A través del sistema de información distrital de deporte y recreación se han venido continuando con la caracterización de los asistentes a los distintos eventos deportivos, recreativos y académicos durante el mes de agosto de 2025. </t>
  </si>
  <si>
    <t xml:space="preserve">A CORTE DE DICIEMBRE DE 2025:  Se continua la participación en el programa sobre Salud mental y movilidad articular en los centros de vida de la ciudad. Se asiste a la mesa convocatoria de diálogo de distriseguridad realizada el día martes 2 de diciembre del 2025 en la biblioteca distrital piel de la popa, a través del sistema de información distrital de deporte y recreación se han venido continuando con la caracterización de los asistentes a los distintos eventos deportivos, recreativos y académicos durante el mes de diciembre de 2025. En asocio con las universidades en convenio con el Instituto Distrital de Deporte y Recreción se realiza el cierre de actividades de los practicantes de dichas universidades en las áreas de psicología, trabajo social, fisioterapia y educación física, Se consolida el grupo de integrantes de semilleristas que estuvieron participando en los procesos de ciencias aplicadas. Con los practicantes de las universidades en convenio con el IDER.sobre el sector deporte A través del sistema de información distrital de deporte y recreación se han venido continuando con la caracterización de los asistentes a los distintos eventos deportivos, recreativos y académicos durante el mes de diciembre de 2025.   A CORTE DE NOVIEMBRE DE 2025 : En alianza con la Universidad San Buenaventura se realizo el simposio de Actividad Física Adaptada los días 5,6 y 7 de noviembre. Los días 25 y 26 de noviembre en asocio con el Ministerio del Deporte se participó en el Seminario Internacional: Influencia del deporte y la actividad física en la salud mental.   ( 1.Repogramacion de los eventos en mención teniendo en cuenta las necesidades públicas del sector. 
2. En conjunto con las universidades que mantienen convenio con el IDER, se realizaron eventos y actividades científicas y académicas tales como: “Congreso Nacional de Universidades Promotoras de Salud” Con la Corporación Universitaria Rafael Núñez, “Motricidad Humana en El Caribe 2025” Evento académico-científico con la Universidad San Buenaventura, el Simposio de Actividad Física Adaptada con la Universidad San Buenaventura y el Seminario Internacional: Influencia del Deporte y la Actividad Física en La Salud Mental con MINDEPORTE entre otros)     A CORTE DE OCTUBRE DE 2025 :    Se participa en el evento Envejecimiento activo: El papel de la actividad física en la calidad de vida. Y en la actividad cambio de roles.,  A finales de octubre contamos con un valor de 68 actividades de apropiacion social del conocimiento .          A CORTE DE SEPTIEMBRE DE 2025:  A este período se realizaron 57 actividades de apropiación social del conocimiento Se fija como fecha tentativa para la realización del II Encuentro científico Cartagena 2033 - “Una visión de ciudad desde la mirada prospectiva del sector deportivo y recreativo” los días 3, 4 y 5 de diciembre del 2025. De igual manera se continúa trabajando en la organización, elaborando cronogramas y realizando mesas de trabajos para la organización previa.   En alianza con la Corporacion Universitaria Rafael Nuñez – CURN - se participa en el Evento de Encuentro de Universidades promotoras de salud - VIII RED CUPS, para favorecer la aplicación de la ciencia en los procesos de deporte, recreación y actividad física en los campos universitarios. En el marco del II Encuentro científico Cartagena 2033  “Una visión de ciudad desde la mirada prospectiva del sector deportivo y recreativo”, se proyecta la realización de encuentros de semilleros de investigación científica relacionado con el sector deportivo y recreativo. Lo anterior basado en los convenios establecidos con las diferentes universidades. CURN - Aunar esfuerzos en campos de común interés, específicamente en el desarrollo de proyectos académicos, de investigación y extensión que coadyuven al desarrollo del deporte e incentiven la participación de los actores del sistema del deporte y las actividades recreativas en el Distrito de Cartagena. Red Colombiana de Semilleros de Investigación - Articulación con los distintos de semilleros de investigación de niños y adolescentes.        A CORTE DE AGOSTO DE 2025: Se realiza publicación de las actividades correspondientes el periodo, dentro de ellas el evento realizado el día 11 de agosto del 2025 DIALOGOS DEPORTIVOS CON LA COMUNIDAD, el cual fue realizado del Complejo de Raquetas.   Se continúa en la organización del II Encuentro científico Cartagena 2033 - “Una visión de ciudad desde la mirada prospectiva del sector deportivo y recreativo” evento programado en el segundo semestre del 2025. Este evento está programado para finales del segundo semestre. Se realizó la presentación de los estudiantes en prácticas con las diferentes universidades de la ciudad, con quienes se ha venido dialogando respecto a la conformación del semillero de investigación en desarrollo de sus practicas académicas. Para tal efecto realizaran actividades investigativas   con dicha población estudiantil con el objeto de obtener como producto al final del periodo, insumos y artículos que alimenten la investigación en el proceso de ciencias aplicadas al deporte, Se realizó trabajo articulado con funcionarios de la secretaria de educación a cargo del seguimiento de la política pública de esa dependencia y la oficina de planeación del IDER. A través de esta experiencia se le suministró información de los indicadores de actividades deportivas y recreativas que tienen relación con el desarrollo de la política pública distrital de educación. En el caso especifico del observatorio se brindo la información sobre el lineamiento de la apropiación social del conocimiento que se fundamenta como cumplimiento del objetivo II del proyecto de fortalecimiento del capital humano el cual dice: “Aumentar la apropiación social de conocimiento sobre el sector deporte”. Para el cumplimiento de lo anterior, se han venido estableciendo convenios con las diferentes universidades.Se continúa en la organización del II Encuentro científico Cartagena 2033 - “Una visión de ciudad desde la mirada prospectiva del sector deportivo y recreativo” evento programado en el segundo semestre del 2025. Este evento está programado para finales del segundo semestre.   </t>
  </si>
  <si>
    <t>A CORTE DE DICIEMBRE DE 2025: A corte 20 de diciembre se reporta: 
•	En este periodo en la escuela de iniciación y formación deportiva se cuenta con 6603 Niños, niñas, adolescentes y Jóvenes inscritos.
•	En los niveles de Iniciación Y Formación, para un total de 4.798 NNA beneficiarios de las 3 localidades (Loc1= 1335- Loc2=2171 – Loc3 = 1292) al corte del mes. 
•	El nivel de Énfasis vinculado a 1638 niños, niñas, adolescentes y jóvenes inscritos.
•	El nivel de Perfeccionamiento vinculado a 175  jóvenes inscritos.  A CORTE DE NOVIEMBRE DE 2025:  •	En este periodo en la escuela de iniciación y formación deportiva se cuenta con 6603 Niños, niñas, adolescentes y Jóvenes inscritos el cual se abrieron las inscripciones y se presentó incremento de niños inscritos en 4 núcleos.
•	En los niveles de Iniciación Y Formación, para un total de 4.798 NNA beneficiarios de las 3 localidades (Loc1= 1335- Loc2=2171 – Loc3 = 1292) al corte del mes. 
•	El nivel de Énfasis vinculado a 1638 niños, niñas, adolescentes y jóvenes inscritos.
•	El nivel de Perfeccionamiento vinculado a 175  jóvenes inscritos. Atenciones periódicas :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	Apoyo, supervisión y acompañamiento a practicantes de fisioterapia de la universidad de san buenaventura- martes y viernes del mes.
•	Se realizaron en el mes de octubre apoyos a intervenciones psicosociales, hábitos y estilos de vida saludable, intervenciones físicas en los diferentes puntos activos de la Escuela De Iniciación Y Formación Deportiva.
             A corte 31 de octubre se reporta: 
•	En este periodo en la escuela de iniciación y formación deportiva se cuenta con 6435 Niños, niñas, adolescentes y Jóvenes inscritos.
•	En los niveles de Iniciación Y Formación, para un total de 4.630 NNA beneficiarios de las 3 localidades (Loc1= 1298- Loc2=2040 – Loc3 = 1292) al corte del mes. 
•	El nivel de Énfasis vinculado a 1630 niños, niñas, adolescentes y jóvenes inscritos.
•	El nivel de Perfeccionamiento vinculado a 175  jóvenes inscritos.    A corte 31 de octubre se reporta:  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	Apoyo, supervisión y acompañamiento a practicantes de fisioterapia de la universidad de san buenaventura- martes y viernes del mes.
•	Se realizaron en el mes de octubre apoyos a intervenciones psicosociales, hábitos y estilos de vida saludable, intervenciones físicas en los diferentes puntos activos de la Escuela De Iniciación Y Formación Deportiva.       A corte 15 de septiembre se reporta: 
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	Apoyo, supervisión y acompañamiento a practicantes de fisioterapia de la universidad de san buenaventura- Martes y viernes del mes, El equipo psicosocial de la escuela ha apoyado actividades en el mes de septiembre:
Se ha trabajado en el periodo atención presencial en los puntos establecidos para facilitar a los usuarios el proceso y a su vez se han realizado intervenciones y seguimientos a los NNA a cargo del equipo psicosocial de la escuela; así mismo el acompañamiento interdisciplinar a los NNA adolescentes y padres pertenecientes a la Escuela, así mismo: 1.	Apoyo logístico a competencias de Juegos Intercolegiados En Fase Distrital 3 de septiembre de 2025, 2.	Apoyo, acompañamiento y supervisión a estudiantes de Medicina Familiar- Uninuñez, martes y miércoles de todo el mes, 3.	Apoyo a Torneo Internacional De Tenis, 1,2 y 3 de septiembre , 4.	Supervisión, acompañamiento y supervisan a practicantes de psicología universidad de san buenaventura, lunes, miércoles y viernes del mes., 5.	Apoyo en recuperación física a stand en ironman 5.50. - 07-09-2025 , 6.	Presentación de Oferta Institucional En Gobierno Al Barrio La Boquilla - 09-09-2025 , 7.	Apoyo, asistencia y participación a Anima Fest- 13 y 14 de septiembre , 8.	Apoyo a recuperación a carrera Family Run- 14-09-2025
A corte 31 de agosto se reporta: A corte 31 de agosto se reporta: 
A corte 25 de noviembre se reporta:
•	22 noviembre, festival deportivo Muralla Para Todos, el cual se realizó en el centro histórico de Cartagena en las tenazas y las bóvedas con los niños niñas y jóvenes de la Escuela de Iniciación y Formación Deportiva en donde se beneficiaron 800 NNA.y jóvenes.Atenciones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A corte 31 de agosto se reporta: 
•	En este periodo en la escuela de iniciación y formación deportiva se cuenta con 6435 Niños, niñas, adolescentes y Jóvenes inscritos. •	En los niveles de Iniciación Y Formación, para un total de 4.630 NNA beneficiarios de las 3 localidades (Loc1= 1298- Loc2=2040 – Loc3 = 1292) al corte del mes.  •	El nivel de Énfasis vinculado a 1630 niños, niñas, adolescentes y jóvenes inscritos. •	El nivel de Perfeccionamiento vinculado a 175  jóvenes inscritos. A corte 31 de julio se reporta: 
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.A corte 31 de julio se reporta: 
•	Para este periodo se cerró el link para el proceso de inscripción en los núcleos en procesos de los niveles de Iniciación Y Formación, para un total de 4.630 NNA beneficiarios de las 3 localidades (Loc1= 1298- Loc2=2040 – Loc3 = 1292) al corte del mes. 
•	Para este periodo se cerró el proceso de inscripción el nivel de Énfasis vinculado a 1630 niños, niñas, adolescentes y jóvenes inscritos.
•	Para este periodo se cerró el proceso de nivel de Perfeccionamiento vinculado a 175  jóvenes inscritos. A corte 30 de junio se reporta: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</si>
  <si>
    <t>A corte  de diciembre se reporta:
A corte este periodo se encuentran 59 núcleos de Iniciación y Formación Deportiva, en las tres localidades del Distrito de Cartagena. •	En los niveles de Iniciación Y Formación, para un total de 4.798 NNA beneficiarios de las 3 localidades (Loc1= 1335- Loc2=2171 – Loc3 = 1292).  A corte de noviembre se reporta:
A corte este periodo se encuentran 59 núcleos de Iniciación y Formación Deportiva, en las tres localidades del Distrito de Cartagena. •	En los niveles de Iniciación Y Formación, para un total de 4.798 NNA beneficiarios de las 3 localidades (Loc1= 1335- Loc2=2171 – Loc3 = 1292) al corte del mes. A corte de octubre de 2025 se reporta: 
A corte este periodo se encuentran 59 núcleos de Iniciación y Formación Deportiva, en las tres localidades del Distrito de Cartagena. 
•	Para este periodo se encuentran inscritos en los núcleos de los niveles de Iniciación Y Formación un total de 4.630 NNA beneficiarios de las 3 localidades (Loc1= 1298- Loc2=2040 – Loc3 = 1292) al corte del mes. A corte 31 de agosto se reporta: 
A corte este periodo se encuentran activos 59 núcleos de Iniciación y Formación Deportiva, en las tres localidades del Distrito de Cartagena. 
•	Para este periodo se cerró el link para el proceso de inscripción en los núcleos en procesos de los niveles de Iniciación Y Formación, para un total de 4.630 NNA beneficiarios de las 3 localidades (Loc1= 1298- Loc2=2040 – Loc3 = 1292) al corte del mes. A corte 31 de julio se reporta: 
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A corte 31 de julio se reporta: 
•	Para este periodo se cerró el link para el proceso de inscripción en los núcleos en procesos de los niveles de Iniciación Y Formación, para un total de 4.630 NNA beneficiarios de las 3 localidades (Loc1= 1298- Loc2=2040 – Loc3 = 1292) al corte del mes. 
•	Para este periodo se cerró el proceso de inscripción el nivel de Énfasis vinculado a 1630 niños, niñas, adolescentes y jóvenes inscritos.
•	Para este periodo se cerró el proceso de nivel de Perfeccionamiento vinculado a 175  jóvenes inscritos. A corte 30 de junio se reporta: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</si>
  <si>
    <t xml:space="preserve">A corte de dicembre se reporta :
Atenciones periódicas 
•	Se realiza atención periódica y acompañamiento de fisioterapia a los énfasis Pesas, Natación, Atletismo, Voleibol esto se lleva a cabo cada semana los días miércoles, jueves, viernes y sábado de cada semana.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	Apoyo, supervisión y acompañamiento a practicantes de fisioterapia de la universidad de san buenaventura- martes y viernes del mes. El equipo psicosocial de la escuela ha apoyado actividades en el mes de Diciembre:
1.	Oferta institucional Nuevo Paraíso Sector Pantano de Vargas
2.	Reunión y Organización de actividades de EIFD
3.	Festival deportivo EIFD Bicentenario
4.	Capacitación Zonas Cardio Protegidas Estadio Jaime Morón Y Complejo De Raquetas
5.	Acompañamiento Parque Centenario Inauguración 
6.	Apoyo logística Torneo Béisbol - Tigres
7.	Actividad predeportiva Parque Flanagan
8.	Arroz Barato Oferta Institucional Y Muestra Deportiva
9.	Apoyo psicosocial en Núcleo Bruselas.
•	. A corte 31 de octubre se reporta:
•	4 de octubre, se llevó a cabo el Festival deportivo en corregimiento de Punta canoa – en donde participaron alrededor de 300 beneficiarios.
•	11 octubre, se realizó Festival Deportivo En Bicentenario desde el IDER y junto a la fundación santo domingo en donde se impactaron alrededor de 1500 niños, niñas y jóvenes de la EIFD, en los distintos deportes de la IEFD desarrollándose Juegos recreativos, Futbol 11, Baloncesto, Voleibol, Patinaje, Taekwondo, Maratón atletismo, actividades recreativa entre otros.
•	26 octubre, se realizó el Festival de Patinaje EIFD en el Palíndromo Del Barrio El Campestre en donde asistieron niños y niñas de la EIFD en donde se beneficiaron 200 NNA. .A corte 30 de septiembre de 2025: Para la vigencia del 2025 se crearon cuatro (4) nuevos núcleos , los cuales son:  Olaya -sector Estella , Bicentenario, Olaya I.E.San Felipe Neri  y Tierra Baja en la Cancha Múltiple. A corte 15  de septiembre se reporta: 
A corte este periodo se encuentran 59 núcleos de Iniciación y Formación Deportiva, en las tres localidades del Distrito de Cartagena. 
•	Para este periodo se encuentran inscritos en los núcleos de los niveles de Iniciación Y Formación un total de 4.630 NNA beneficiarios de las 3 localidades (Loc1= 1298- Loc2=2040 – Loc3 = 1292) al corte del mes. A corte 31 de agosto se reporta: 
A corte este periodo se encuentran activos 59 núcleos de Iniciación y Formación Deportiva, en las tres localidades del Distrito de Cartagena. 
•	Para este periodo se cerró el link para el proceso de inscripción en los núcleos en procesos de los niveles de Iniciación Y Formación, para un total de 4.630 NNA beneficiarios de las 3 localidades (Loc1= 1298- Loc2=2040 – Loc3 = 1292) </t>
  </si>
  <si>
    <t xml:space="preserve"> A  CORTE  DE DICIEMBRE DE 2025: La implementación con los núcleos de Educación Física Extraescolar  continúa con  la población objetivo de San Felipe Nery, Punta Canoa, Tierra Baja y Isla Orica . A CORTE DE NOVIEMBRE DE 2025:    Se continuó con la implementación de los Núcleos de Educación Física Extraescolar a la población objetivo de San Felipe Nery y Punta Canoa, Tierra Baja, Isla Orica y la respectiva inscripción de los beneficiarios.   A CORTE DE OCTUBRE DE 2025: 
•	Se continua con la implementación de los Núcleos de Educación Física Extraescolar a la población objetivo de San Felipe Nery, Punta Canoa, Tierra Baja, Isla Orika,•Se adquirieron los insumos e implementación para el funcionamiento de los núcleos de educación física extraescolar.
                A corte 30 de septiembre de 2025:   Se crearon cuatro (4) núcleos de educación física extraescolar en las siguinetes instituciones educativas: San Felipe Neri, Punta Canoa, Tierra Baja y Orika (Isla Grande), los cuales estan benefiando a beneficiando a un total de 441 niños, niñas y adlescentes entre un rango de edad de 7 a 12 años, en una frecuencia de tres veces a la semana .  A corte 15 de septiembre se reporta:
•	Se está a la espera del proceso de adquisición del material pedagógico y la contratación del personal que estará a cargo de las instrucciones   .A corte 31 de agosto se reporta:
•	Para este periodo se culminó el proceso de selección del operador logístico del programa de Deporte Estudiantil. En ese sentido se continuará con el Plan de Acción diseñado para tal efecto. Los núcleos de Educación Física Extraescolar serían en la Institución Educativa San Felipe Nei y el otro funcionaria en el INEM.
A corte de 31 de julio: 
•	Se está a la espera que se surta la convocatoria pública para la escogencia del operador logístico del programa. Se estableció el cronograma de trabajo con las intituciones educativas donde se desarrollaran los dos (2) núcleos de Educación Física Extraescolar.en el Distrito de Cartagena de Indias, los cuales se esperan que entren en funcionamiento en el segundo semestre del 2025.</t>
  </si>
  <si>
    <t>A corte de diciembre se reporta: 
•	Se asistió a la Cumbre Internacional De Deporte Escolar en Bogotá del 15 al 18 de diciembre de 2025.  A corte de 30 de noviembre se reporta:· Para este periodo no se reporta variación, ya que se culminaron las competencias correspondientes a cada uno de los deportes y modalidades deportivas convocadas por el Ministerio del Deporte en cada una de sus fases para la presente vigencia, es decir, Distrital, Departamental, Regional y Nacional.  A corte de 15 de septiembre se reporta: •	Para este periodo no se reporta variación, ya que se culminaron las competencias correspondientes a cada uno de los deportes y modalidades deportivas convocadas por el Ministerio del Deporte y que cumplieron con la normatividad correspondiente al número mínimo de Instituciones Educativas o Atletas inscritos. A corte 15 de septiembre se reporta: •	El 15 de septiembre se llevó a cabo la ceremonia de premiación de los Juegos Intercolegiados Distritales, donde se reconoció y exaltó el esfuerzo, la disciplina y los logros alcanzados por las Instituciones Educativas y atletas participantes quienes obtuvieron los primero lugares en las justas deportivas, reafirmando el compromiso del IDER con el fomento del deporte escolar y la formación integral de los jóvenes cartageneros.  A corte de 30 de junio se reporta: 
•	Se encuentran vinculadas 171 Instituciones Educativas, de las cuales se encuentran 86 oficiales y 85 no oficiales en la plataforma de los Juegos Intercolegiados Nacionales 2025.</t>
  </si>
  <si>
    <t xml:space="preserve">A corte de diciembre: •	Se asistió a la Cumbre Internacional De Deporte Escolar en Bogotá del 15 al 18 de diciembre de 2025. A corte de noviembre se reporta: · Se cumplió la Fase Nacional desarrollada en la ciudad de Cali y Palmira entre los días 26 de octubre al 8 de noviembre de 2025. A corte 30 de octubre se reporta: 
•	Se cumplió con la Fase Regional en los municipios de Cereté y Lorica y se dio inicio a la Fase Nacional en la ciudad de Cali.•	Se cumplió con la realización de los Torneos de Mini voleibol y Mini Fútbol Sala en el marco de los Juegos Distritales Intercolegiados 2025.  A corte 28 de octubre se reporta: •	Se hizo el acompañamiento la Fase Departamental de los Juegos Intercolegiados 2025 en los municipios de San Juan, Carmen de Bolívar y San Jacinto, a la Fase Regional en Cereté y Lorica y a la Fase Nacional en Cali.
              A corte 15 de septiembre se reporta: 
•	Se está a la espera del inicio de la segunda fase de los Juegos Intercolegiados, que corresponde a la Fase Departamental se proyecta inicio del 17 al 19 de septiembre en San Jacinto, San Juan Nepomuceno y El Carmen de Bolívar, organizada por el Instituto Departamental de Deporte y Recreación Iderbol, Apoyada por Ider, MINdeporte  .A corte 31 de agosto se reporta: 
•	En este periodo se están desarrollando las competencias correspondientes a cada uno de los deportes y modalidades deportivas convocadas por el Ministerio del Deporte y que cumplieron con la normatividad correspondiente al número mínimo de Instituciones Educativas o Atletas inscritos, así: Ajedrez, Atletismo,Bádminton,Baloncesto, Béisbol, Boxeo, Fútbol , Fútbol de Salón, Fútbol Sala, Gimnasia, Judo, Karate Do, Levantamiento de Pesas, Lucha, Natación, Patinaje, Softbol, Taekwondo, Tenis, Tenis de Mesa, Voleibol.  A corte de 31 de agosto se reporta:
•	Para este periodo no se reporta variación, ya que se culminaron las competencias correspondientes a cada uno de los deportes y modalidades deportivas convocadas por el Ministerio del Deporte y que cumplieron con la normatividad correspondiente al número mínimo de Instituciones Educativas o Atletas inscritos.
  A corte de 31 de julio se reporta: 
•	Se está a la espera del inicio de las competencias en cada uno de los deportes y modalidades convocadas, una vez se surta el proceso de contratación del operador para los Juegos Intercolegiados. A corte de 30 de junio se reporta: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2025.A corte de 30 de junio se reporta: 
•	Se está a la espera que se surta la convocatoria pública para la escogencia del operador logístico de los Juegos Intercolegiados.
                                                                                                                                                                                                                            A corte de 31 de mayo se reporta: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</si>
  <si>
    <t xml:space="preserve">A CORTE DE DICIEMBRE DE 2025 :
ATENCIONES PERIÓDICAS 
•	Entrenamientos de natación de forma regular para personas con discapacidad Complejo Acuático durante todo el mes 102 personas en promedio, Atención Centros Penitenciarios Cárcel De Mujeres Y Cárcel San Sebastián de ternera todo el mes 105 personas atendidas en promedio, Atención regular SRPA fundaciones todo el mes. 34 personas atendidas en promedio.
REUNIONES Y SOCIALIZACIONES
03 de diciembre del 2025, Actividad de recolección de los inscritos y reunión de retroalimentación y seguimiento de la ejecución de los Juegos Corregimentales con los monitores y coordinadores. Complejo De Raquetas, 6 de diciembre del 2025, Mesa de trabajo con el equipo de discapacidad con el objetivo de planificar las actividades a desarrollar por las diferentes entidades que van a conmemorar El Día Internacional De La Discapacidad y solicitaron apoyo del equipo se desarrolló en Oficina en las Escuelas De Formación Del IDER Complejo Acuático
El desarrollo de los Juegos Corregimentales Distritales 2025 , avanza sin ningún tipo de inconvenientes de los partidos programados en las disciplinas deportivas Futbol, Béisbol Y Softbol en los distintos corregimientos del distrito de Cartagena están inscritos hasta la fecha 2105 participantes, La programación de los Juegos Corregimentales Distritales en las disciplinas deportivas de softbol, béisbol y futbol donde se desarrollaron en los corregimientos del distrito, 10 de diciembre del 2025, Reunión de retroalimentación de los Juegos Corregimentales. Se llevó a cabo en el Complejo de Raquetas, 22 de diciembre, la programación avanza sin ningún tipo de inconvenientes y lleva de ejecución en softbol 94%, futbol 92%, y béisbol 92%, hasta fecha faltan por ejecutar las semifinales y finales del torneo en las diferentes categorías en los corregimientos del distrito de Cartagena, 2 de diciembre del 2025, Mesa de trabajo con los coordinadores de deporte de la localidad 1,2,3 y el coordinador de Deporte Social Comunitario-IDER para la Socialización de inscripciones de las comunidades participantes en los Juegos comunales 2025. Se llevó a cabo en el Coliseo Chico de Hierro-IDER. 10 de diciembre del 2025, Recepción de documentación para la inscripción y participación en los Juegos Comunales. Coliseo Chico de Hierro-IDER.
ACTIVIDADES : Se Apoyó con actividades  predeportiva y recreativa para Conmemorar El Día Internacional De La Discapacidad organizada por la Secretaría De Participación se impactaron personas con discapacidad, apoyo actividades predeportivas y recreativas con el objetivo de  Conmemorar El Día Internacional De La Discapacidad organizada por la Alcaldía De La Localidad 1 participaron personas con discapacidad, se realizó el Festival De Natación Con el objetivo de Conmemorar El Día Internacional De La Discapacidad donde participaron personas con discapacidad, Se realzo Festival De Boccia con el objetivo de fomentar esta disciplina deportiva y brindar espacios de participación a las personas con discapacidad física en la cual Participaron 27 personas con discapacidad se llevó a cabo en el Coliseo de Combate y gimnasia Ignacio Amador de la Peña, se realizó festival deportivo SRPA TURBACO impactando 100 Personas, Festival Deportivo Cárcel De Ternera, impactando 60 personas directas y 200 espectadores indirectos, Atención integral con los Jóvenes En Situación De Riesgo Social sector Revivir san José de los campanos. Impactando 30 personas, Actividad de intervención en la comunidad de Jóvenes En Situación De Riesgo Social En Barrio el Pozón, Jornada de Tejo masculino en el marco de los Juegos Comunales 2025. – Juegos Comunales, Jornada de Minitejo femenina en el marco de los Juegos Comunales 2025. – Juegos Comunales, Jornada de Ajedrez en el marco de los Juegos Comunales 2025 – Juegos Comunales, Torneo de microfutfol Juegos Comunalitos LA GENERACIÓN QUE TRANSFORMA. – Juegos Comunales, Torneo Barrial Comunitario con los jovenes de la comunidad del barrio, Juegos Comunales y Juegos Comunales.    A CORTE DE NOVIEMBRE DE 2025 :  ATENCIONES PERIÓDICAS 
•	Entrenamientos de natación de forma regular para personas con discapacidad Complejo Acuático durante todo el mes 102 personas en promedio
•	Atención Centros Penitenciarios Cárcel De Mujeres Y Cárcel San Sebastián de ternera todo el mes 105 personas atendidas en promedio
•	Atención regular SRPA fundaciones todo el mes. 34 personas atendidas en promedio
REUNIONES Y SOCIALIZACIONES
•	06 de noviembre del 2025, Actividad terminación de recolección de los inscritos y reunión de retroalimentación de la primera semana de los juegos corregimentales. Complejo de raquetas
•	En este periodo se inició inscripción de los juegos comunales y hasta la fecha van inscritos Inscritos 462, se tiene programado el inicio de los juegos a mediados del mes de diciembre  
•	4 de noviembre del 2025., Nombre de la actividad: Mesa de trabajo con los presidentes de las Asojac 1,2,3, los coordinadores de deportes de la localidad 1,2,3 y el presidente de la federación. Socialización del inicio de los Juegos comunales 2025. En la Alcaldía de la localidad 1. •	19 de noviembre del 2025 Nombre de la actividad: Mesa de trabajo con el equipo de la estrategia Juegos Comunales y la asesora técnica del área de deportes. Socialización del número de participantes inscritos en la plataforma. En el Coliseo Chico de Hierro-IDER.
•	24 de noviembre del 2025, Nombre de la actividad: Recepción de documentación para la inscripción y participación en los Juegos Comunales. En el Coliseo Chico de Hierro-IDER.
•	25 de noviembre del 2025. Nombre de la actividad: Mesa de trabajo con los coordinadores de deporte de la localidad 1,2,3 y el coordinador de Deporte Social Comunitario-IDER. Socialización y organización del inicio de los Juegos comunales 2025. En el Coliseo Chico de Hierro-IDER.•	19 de noviembre del 2025, Mesa de trabajo con el equipo de discapacidad para coordinar actividades del mes de diciembre en el marco de la conmemoración Día Internacional de la Discapacidad en las Oficinas de la Fundación El Rosario
•	10 de NOVIEMBRE, asistencia a mesa técnica de atención integral-SRPA modalidad virtual.    ACTIVIDADES: •	Inscritos a Juegos corregimentales hasta la fecha 2.090
•	22 noviembre, Se llevó a cabo la clausura de IV torneo deportivo comunal  Forrecar –Ider - juegos Ecopetrol – IDER 2025
•	2 noviembre, Programación de la primera fecha de los juegos corregimentales en la disciplina deportiva de futbol donde se desarrollaron juegos en Boquilla, Tierra baja, Arroyo grande Ararca, en la categoría infantil, juvenil y sub 21.
•	22 y 23 de noviembre del 2025, Programación de la tercera fecha de los juegos  en la disciplina deportiva de futbol donde se desarrollaron en 4 corregimeintos juegos en Pasacaballos, Boquilla, Arroyo grande, Barú, en la categoría infantil, juvenil y sub 21. corregimiento del distrito de Cartagena.
•	19 de noviembre del 2025, Actividad entrega de implementación deportiva y reunión de retroalimentación de la segunda semana de los juegos corregimentales. Complejo de raquetas
•	08 y 9 de noviembre del 2025, Programación de la segunda fecha de los juegos  en la disciplina deportiva de futbol donde se desarrollaron en 7 corregimeintos juegos en Pasacaballos, Punta Arena, Isla del Rosario, Tierra baja, Arroyo grande, Ararca, Baru, en la categoría infantil, juvenil y sub 21. corregimiento del distrito de Cartagena
•	3, 4, 5, 6, 7, 18, 19, 20 21 de noviembre del 2025, Entrenamientos de natación de forma regular para personas con discapacidad, la cual tiene como objetivo brindar espacios de participación en el ámbito deportivo a esta población, estos entrenamientos son dirigidos por monitores del equipo de discapacidad que a través de estrategias adaptadas buscan iniciar de forma significativa un proceso deportivo y que los usuarios disfruten de espacios de participación. Se llevó a cabo en el Complejo acuático 102 impactados 
•	3 de noviembre del 2025, Actividad predeportiva con inclusión de las personas con discapacidad la cual se articuló con la junta de acción comunal del barrio Nelson Mandela, en esta actividad se desarrollaron diferentes estaciones predeportivas adaptadas donde esta población tuvo la oportunidad de disfrutar de estos espacios predeportivos y recreativos. Se llevó a cabo en Cancha del Barrio Nelson Mandela 20 impactados, •	5 de noviembre del 2025, Apoyo en la semana deportiva que desarrolla la Corporación Mente Activa donde participan personas con discapacidad en diferentes deportes y actividades culturales. En la Cancha de Blas de Lezo 
•	6 y 21 de noviembre del 2025, Actividad predeportiva de relevos con la Fundación Acción y Vida con el objetivo de seguir con el proceso motivación de que las personas con discapacidad el deporte haga parte de su vida diaria. Cancha múltiple del Barrio Los Alpes 19 impactados
•	8 de noviembre del 2025, Festival Predeportivo para personas con discapacidad en el marco del Torneo Comunal Ecopetrol - IDER, en el cual se desarrollaron diferentes estaciones con actividades adaptadas donde cada persona con discapacidad tuvo la oportunidad de disfrutar junto con su cuidador de este espacio predeportivo. Colegio San Francisco de Asís – Arroz Barato 43 impactados, •	19 de noviembre del 2025, Actividad Predeportiva Fundación El Rosario en la cual participan personas con discapacidad, esta actividad tiene como objetivo de fortalecer los procesos de inclusión y participación de esta población al deporte y la recreación. Fundación El Rosario 64 impactados, •	20 de noviembre del 2025, Actividad predeportiva y recreativa con personas con discapacidad en la Fundación REI, con el objetivo de fortalecer los espacios de participación en el ámbito deportivo y recreativo. En la Fundación REI. 38 impactados , 
•	5 de noviembre 2025, Festival Deportivo JSRS con los jóvenes de la comunidad del corregimiento de la boquilla Jóvenes en Riesgo Social, realizando el cierre de la intervención psicosocial. El festival se desarrolló de manera articulada con la Secretaría del Interior, la Policía Nacional. La BOQUILLA impactados 30, •	7 de noviembre 2025, Jornada de atención integral en la fundación Talid para el fomento de la práctica del deporte y actividad física.Unidad de servicio FUNDACION TALID impactados 10
•	19 de noviembre 2025, Jornada de atención integral en la fundación Talid para el fomento de la práctica del deporte y actividad física.Unidad de servicio FUNDACION TALID impactados 12, •	19 de noviembre 2025, Jornada de atención integral en la cárcel de mujeres para el fomento de la práctica del deporte y actividad física. CARCEL DE MUJERES  impactados 25
•	21 de noviembre 2025, Jornada de atención integral en la fundación Talid para el fomento de la práctica del deporte y actividad física.Unidad de servicio FUNDACION TALID impactados  10, •	26 de noviembre 2025,  Jornada de atención integral en la cárcel de mujeres para el fomento de la práctica del deporte y actividad física. CARCEL DE MUJERES  impactados 25
•	26 de noviembre 2025, Festival Deportivo JSRS con los jóvenes de la comunidad del corregimiento de la boquilla Jóvenes en Riesgo Social, realizando el cierre de la intervención psicosocial. El festival se desarrolló de manera articulada con la Secretaría del Interior, la Policía Nacional. La BOQUILLA impactados  30, •	28 de noviembre 2025, Jornada de atención integral en la cárcel de mujeres para el fomento de la práctica del deporte y actividad física. CARCEL DE MUJERES impactados  25.  A corte  de octubre se reporta: 
•	16 de octubre, planificación de los Juegos Corregimentales y dar a conocer a los monitores de los 27 corregimientos que disciplina van a participar en los juegos que son Béisbol, Softbol y Futbol. En Complejo de raquetas. Asistieron 48 personas
•	21 de octubre,  Actividad recolección de los inscritos por las disciplinas inscritas por cada corregimiento que van a participar en los juegos. Complejo de raquetas asistieron 54 personas, los Juegos Corregimentales se encuentran en proceso de inscripción y hasta la fecha  se cuenta con 1.338 inscritos.
•	26 de octubre, Lanzamiento de los juegos corregimentales 2025. Biblioteca distrital ubicada en el pie de la popa. En donde contamos con 60 asistentes.    A corte de octubre se reporta: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REUNIONES Y SOCIALIZACIONES; •7 de octubre, asistencia A Mesa Técnica De Atención Integral-SRPA modalidad virtual.
•	9 de octubre, asistencia a la Mesa Técnica Planeación Semana De La Justicia Juvenil Restaurativa-Alcaldía Local N°2. •	17 de octubre, asistencia al Intercambio Nacional De Buenas Prácticas De Justicia Juvenil Restaurativa-Modalidad Virtual.,
•	22 de octubre, asistencia al Foro De Justicia Restaurativa, •	24 de octubre, Participación en la Mesa de Inclusión, en el marco de los espacios de Articulación Interinstitucional entre los actores del Programa Renta Ciudadana en Cartagena de Indias, en la cual socializamos nuestra oferta institucional. Edificio Castellana Real., •	13 de octubre, Mesa de trabajo con el equipo de discapacidad para coordinar actividades del mes de octubre del 2025, festival para las personas con discapacidad en el marco de los Juegos Deportivos Comunales- Ecopetrol y Festival en el Barrio Nelson Mandela. Oficinas del IDER., •	10 de octubre, Entrega de kit deportivo a las entidades que trabajan con personas con discapacidad con el objetivo de fortalecer los procesos de formación en el deporte. (Fundación Aluna, El Rosario, Mente Activa, Acción y Vida, Fundación Inclusivo, Antonia Santos, REI) IDER, •	1 de octubre, Mesa de trabajo con el equipo de la estrategia Juegos Comunales y el jefe de deportes. Planificación y socialización de la organización del inicio de los Juegos comunales con la asesora técnica del área de deportes. Coliseo Chico de Hierro-IDER., •	21 de octubre, Mesa de trabajo con los presidentes de las ASOJAC 1, 2,3 y el presidente de la federación. Socialización del inicio de los Juegos comunales 2025. Complejo de Raquetas.
•	16 de octubre, planificación de los Juegos Corregimentales y dar a conocer a los monitores de los 27 corregimientos que disciplina van a participar en los juegos que son Béisbol, Softbol y Futbol. En Complejo de raquetas. Asistieron 48 personas
•	21 de octubre,  Actividad recolección de los inscritos por las disciplinas inscritas por cada corregimiento que van a participar en los juegos. Complejo de raquetas asistieron 54 personas, los Juegos Corregimentales se encuentran en proceso de inscripción y hasta la fecha  se cuenta con 1.338 inscritos., •	26 de octubre, Lanzamiento de los juegos corregimentales 2025. Biblioteca distrital ubicada en el pie de la popa. En donde contamos con 60 asistentes..                                                                                                                                                                                                                                                                                                                                                                                                                                                        A corte de 15 de septiembre se reporta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REUNIONES Y SOCIALIZACIONES
•	8 de septiembre, Mesa de trabajo con el equipo de la estrategia Juegos Comunales, planificación, socialización y retroalimentación de actividades desarrolladas en las comunidades de las diferentes localidades 1,2 y 3. Coliseo Chico de Hierro-IDER.
•	2,3 ,4 y 5 de septiembre, asistencia a Café dialogo constructivo con las comunidades de la localidad 2 junto a la Alcaldía de la localidad de la virgen y turística.
•	4 de septiembre, se asistió a Mesa Técnica con la comunidad y los jóvenes en riesgo Barrio El Líbano.A corte de 15 de septiembre se reporta: •	Entrenamientos de natación de forma regular para personas con discapacidad Complejo Acuático durante todo el mes atención 70 personas en promedio. •	Se realizaron atenciones en las fundaciones desarrollándose actividades deportivas con las personas con discapacidad. A corte 15 de septiembre se reporta: REUNIONES
•	8 de septiembre, Mesa de trabajo con el equipo de la estrategia Juegos Comunales, planificación, socialización y retroalimentación de actividades desarrolladas en las comunidades de las diferentes localidades 1,2 y 3. Coliseo Chico de Hierro-IDER.  •	2,3 ,4 y 5 de septiembre, asistencia a Café dialogo constructivo con las comunidades de la localidad 2 junto a la Alcaldía de la localidad de la virgen y turística., •	4 de septiembre, se asistió a Mesa Técnica con la comunidad y los jóvenes en riesgo Barrio El Líbano.
•	Se desarrollaron las actividades periódicas programadas en los centros penitenciarios y fundaciones, A corte de 15 de septiembre se reporta: •  Entrenamientos de natación de forma regular para personas con discapacidad Complejo Acuático durante todo el mes atención 70 personas en promedio, •	Se realizaron atenciones en las fundaciones desarrollándose actividades deportivas con las personas con discapacidad. A corte de 15 de septiembre se reporta: •	Para este periodo se socializo con el equipo la planificación de cómo serán las inscripciones a los Juegos Comunales del presente año. A corte de 31 de agosto se reporta:: •	Se realizó la planificación de los Juegos Comunales 2025 a desarrollarse en el mes de septiembre del presente año.•	Mesa de trabajo con el coordinador de Deporte Social Comunitario, equipo DSC y jefe de Deporte para la presentación de lo que se tiene planificado desarrollar en los Juegos Comunales 2025. •	Mesa de trabajo para la programación de actividades a desarrollar en el mes de septiembre solicitadas por las comunidades, para el mes de septiembre se programa la comunidad del barrio Nuevo Oriente y Ceballos.   A corte de 31 de Agosto se reporta: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A corte de 31 de Agosto se reporta:,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REUNIONES Y SOCIALIZACIONES: •	Se realizó la planificación de los Juegos Comunales 2025 a desarrollarse en el mes de septiembre del presente año.•	Mesa de trabajo con el coordinador de Deporte Social Comunitario, equipo DSC y jefe de Deporte para la presentación de lo que se tiene planificado desarrollar en los Juegos Comunales 2025.•	Mesa de trabajo para la programación de actividades a desarrollar en el mes de septiembre solicitadas por las comunidades, para el mes de septiembre se programa la comunidad del barrio Nuevo Oriente y Ceballos. .  A corte de 31 de julio se reporta
: 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REUNIONES Y SOCIALIZACIONES : •	23 julio, visita técnica a Isla Orika. , •	22 julio, se llevó a cabo reunión en coliseo chico de hierro, para planeación y organización para el Festival de la Inclusión. , •	17 Julio, socialización sobre planeación semanal Juegos De La Inclusión. 
•	16 julio, mesa de trabajo con el equipo de la estrategia juegos comunales, planificación, socialización y retroalimentación de actividades desarrolladas en las comunidades de las diferentes localidades 1,2 y 3, Coliseo Chico de Hierro-IDER., •	8 Julio, Submesa Técnica Deportes SRPA. Virtual 9.00 Am, •	8 Julio, III Comité Departamental SRPA-Gobernación De Bolívar.              A corte de 30 de junio se reporta: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REUNIONES Y SOCIALIZACIONES •	11 junio se realizó mesa de trabajo Deporte Social Comunitario para seguimiento de los juegos de la inclusión  •	Se realizó reunión con equipo de trabajo para programar actividades en las comunidades los días 11, 12 y 13 de junio •	En este periodo se desarrollaron los Juegos De La Discapacidad 
•	Desarrollo de los Juegos Carcelarios que se llevaron a cabo en los Centros Penitenciarios: Cárcel de Mujeres: Kickball en reemplazo de Golito, Cárcel san Sebastián de Ternera- Hombres: Futbol, Softbol, Futbol de Salón, Baloncesto y Juegos de Mesa.
•	21 de junio, Mesa de trabajo con el equipo de discapacidad para evaluar desarrollo de los Juegos de la Inclusión 2025 – Discapacidad fortalezas y debilidades para mejorar en cada una de las actividades, además realizar ajustes en las programaciones que están para ejecutar finalizando mes de junio y julio 2025. Oficina de las Escuelas de Formación- IDER Complejo Acuático., •	24 junio, reunión equipo de trabajo Comunales para planificación de actividades., </t>
  </si>
  <si>
    <t xml:space="preserve">A CORTE DE DICIEMBRE DE 2025 :	59.645 personas participantes 32.899 Mujeres y 26.746 Hombre en las estrategias y/o actividades de Aprovechamiento del Tiempo Libre y la Recreación Comunitaria para la Inclusión Social en el Distrito de Cartagena. Desarrollar Campañas y Talleres en Técnicas de Recreación en Articulación con Instituciones Educativas:Se da cumplimento a la estrategia en este periodo, adelantando (1) acciones. 
Magnitud Ejecutada Acumulada en este periodo (98). CARTAGENA RECREATIVA: Se da cumplimento a la estrategia en este periodo, adelantando (17) acciones. 
Magnitud Ejecutada Acumulada en este periodo (2250). RECREACIÓN INCLUYENTE: Se da cumplimento a la estrategia en este periodo, adelantando (1) acciones.
Magnitud Ejecutada Acumulada en este periodo (68). INSTITUCIONES ACTIVAS: Se da cumplimento a la estrategia en este periodo, adelantando (1) acciones.
Magnitud Ejecutada Acumulada en este periodo (98). CAMPAMENTOS JUVENILES: Se da cumplimento a la estrategia en este periodo, adelantando (3) acciones.
Magnitud Ejecutada Acumulada en este periodo (217). ACTIVATE MAYOR: Se da cumplimento a la estrategia en este periodo, adelantando (1) acciones.
Magnitud Ejecutada Acumulada en este periodo (132). ESCUELA RECREATIVA: Se da cumplimento a la estrategia en este periodo, adelantando (1) acciones.
Magnitud Ejecutada Acumulada en este periodo (84). Actividades de Recreación para el Goce y Aprovechamiento del Espacio Público: Se da cumplimento a la estrategia en este periodo, adelantando (26) acciones. Magnitud Ejecutada Acumulada en este periodo (3.426) Beneficiados     A CORTE DE NOVIEMBRE DE 2025:  CARTAGENA RECREATIVA:    Se da cumplimento a la estrategia en este periodo, adelantando (3) acciones.  Magnitud Ejecutada Acumulada en este periodo (339). Pasamos de (2.906) personas beneficiadas a (3.245).  RECREACIÓN INCLUYENTE:   Se da cumplimento a la estrategia en este periodo, adelantando (3) acciones.
Magnitud Ejecutada Acumulada en este periodo (61) Beneficiados. Pasamos de (1.279) personas beneficiadas a (1.340). INSTITUCIONES ACTIVAS: Se da cumplimento a la estrategia en este periodo, adelantando (3) acciones. Magnitud Ejecutada Acumulada en este periodo (196). Pasamos de (17.847) personas beneficiadas a (18.043). CAMPAMENTOS  JUVENILES: Se da cumplimento a la estrategia en este periodo, adelantando (2) acción. Magnitud Ejecutada Acumulada en este periodo (388). Pasamos de (2.539) personas beneficiadas a (2.927). ACTIVATÉ MAYOR: Se da cumplimento a la estrategia en este periodo, adelantando (1) acciones.Magnitud Ejecutada Acumulada en este periodo (33).Pasamos de (3.117) personas beneficiadas a (3.150) .      ESCUELA RECREATIVA: Se da cumplimento a la estrategia en este periodo, adelantando (5) acciones. Magnitud Ejecutada Acumulada en este periodo (596).Pasamos de (8.211) personas beneficiadas a (8.807),Realizar Actividades de Recreación para el Goce y Aprovechamiento del Espacio Público: Se da cumplimento a la estrategia en este periodo, adelantando (14) acciones., Magnitud Ejecutada Acumulada en este periodo (1.199) Beneficiados , Pasamos de (12.893) personas beneficiadas a (14.092). A CORTE DE OCTUBRE DE 2025:  - 50.295 personas participantes 27.643 Mujeres y 22.652 Hombre en las estrategias y/o actividades de Aprovechamiento del Tiempo Libre y la Recreación Comunitaria para la Inclusión Social en el Distrito de Cartagena.    Desarrollar Campañas y Talleres en Técnicas de Recreación en Articulación con Instituciones Educativas  :    Se da cumplimento a la estrategia en este periodo, adelantando (1) acciones. Magnitud Ejecutada Acumulada en este periodo (64) ,  Pasamos de (1.439) personas beneficiadas a (1.503), Implementación de la estrategia “Cartagena Recreativa”: Se da cumplimento a la estrategia en este periodo, adelantando (2) acciones. Magnitud Ejecutada Acumulada en este periodo (641) Pasamos de (2.265) personas beneficiadas a (2.906), Implementación de la estrategia “Recreación Incluyente”:Se da cumplimento a la estrategia en este periodo, adelantando (1) acciones.Magnitud Ejecutada Acumulada en este periodo (136) Beneficiados Pasamos de (1.143) personas beneficiadas a (1.164), Implementación de la estrategia “Instituciones Activas” :Se da cumplimento a la estrategia en este periodo, adelantando (1) acciones. Magnitud Ejecutada Acumulada en este periodo (417) Pasamos de (17.430) personas beneficiadas a (17.847), Implementación de la estrategia “Campamentos Juveniles”: Se da cumplimento a la estrategia en este periodo, adelantando (1) acciones. Magnitud Ejecutada Acumulada en este periodo (7) Pasamos de (2.532) personas beneficiadas a (2.539), Implementación de la estrategia “Actívate Mayor": Se da cumplimento a la estrategia en este periodo, adelantando (3) acciones. Magnitud Ejecutada Acumulada en este periodo (1.029)  Pasamos de (2.088) personas beneficiadas a (3.117), Implementación de la estrategia “Escuela Recreativa": Las sesiones Lúdicas Permanentes en este periodo paso de (1826) beneficiados a (574) de los cuales 292 son mujeres y 282 son hombres.Se da cumplimento a la estrategia en este periodo, adelantando (2) acciones.Magnitud Ejecutada Acumulada en este periodo (352) Pasamos de (7.859) personas beneficiadas a (8.211), Realizar Actividades de Recreación para el Goce y Aprovechamiento del Espacio Público:Se da cumplimento a la estrategia en este periodo, adelantando (4) acciones.Magnitud Ejecutada Acumulada en este periodo (1.468) Beneficiados Pasamos de (11.425) personas beneficiadas a (12.893).      A CORTE 15 DE SEPTIEMBRE DE 2025 :   1-	“Campañas y Talleres en Técnicas de Recreación” en articulación con las instituciones educativas presentamos una cifra acumulada de 1.439 personas beneficiadas, Mujeres (735) Hombres (704), 2-	“Recréate Cartagena” las acciones desarrolladas desde el proyecto, presentamos una cifra acumulada de 2.265 personas beneficiadas, Mujeres (1.279) Hombres (986),3-	“Recréate Incluyente” las acciones desarrolladas desde el proyecto, presentamos una cifra acumulada de 1.143 personas beneficiadas, Mujeres (609) Hombres (534),4-	“Instituciones Activas” las acciones desarrolladas desde el proyecto, presentamos una cifra acumulada de 17.430 personas beneficiadas, Mujeres (8.697) Hombres (8.733), 5-	“Campamentos Juveniles” las acciones desarrolladas desde el proyecto, presentamos una cifra acumulada de 2.532 personas beneficiadas, Mujeres (1.403) Hombres (1.129), 6-	“Actívate Mayor” las acciones desarrolladas desde el proyecto, presentamos una cifra acumulada de 2.088 personas beneficiadas, Mujeres (1.389) Hombres (699), 7-	“Escuela Recreativa” las acciones desarrolladas desde el proyecto, presentamos una cifra acumulada de 7.859 personas beneficiadas, Mujeres (4.951) Hombres (2.908), 8-	“Recreación para el aprovechamiento del espacio Público” las acciones desarrolladas desde el proyecto presentaron una cifra acumulada de 11.425 personas beneficiadas, Mujeres (6.171) Hombres (5.254).
   </t>
  </si>
  <si>
    <t xml:space="preserve"> A CORTE DE DICIEMBRE DE  2025: ENTORNOS SALUDABLES:Se da cumplimento a la estrategia en este periodo, adelantando (15) acciones. Magnitud Ejecutada en este período es de (2.286), pasamos de (15.828) a (18.114) personas beneficiadas. INTEGRATÉ POR TU SALUD: Se da cumplimento a la estrategia en este periodo, adelantando (4) Acciones. Magnitud Ejecutada en este periodo (109) se pasa de (1.109) a (1.218) personas beneficiadas. PASOS SALUDABLES: Se da cumplimento a la estrategia en este periodo, adelantando (4) Acciones. Magnitud Ejecutada Acumulada en este periodo se aumenta en (68) nuevos usuarios pasando de (1.127) a (1.195) personas beneficiadas.VIDA ACTIVA: Se da cumplimento a la estrategia en este periodo, adelantando (4) acciones. 
Magnitud Ejecutada Acumulada en este periodo (41) pasamos de (5.867) a (5.908). EVENTOS DE CONCENTRACIÓN Y PROMOCIÓN:  a meta del cuatrienio (2024 – 2027) en Eventos de Concentración es de 720, se tiene un acumulado del año anterior de 145 eventos realizados. -	La meta del cuatrienio (2024 – 2027) en Eventos de Promoción es de 600, se tiene un acumulado del año pasado de 118 eventos ejecutados. Se da cumplimento a la estrategia en este periodo, adelantando (2) acciones.  Magnitud Ejecutada Acumulada en este periodo para Eventos de Concentración es del (55,56%), se realizaron 5 eventos y se impactaron un total de (993) personas.Magnitud Ejecutada Acumulada en este periodo para Eventos de Promoción es del (79,33%), no se realizaron eventos en este período.    A CORTE DE NOVIEMBRE DE 2025:   ENTORNOS SALUDABLES: Se da cumplimento a la estrategia en este periodo, adelantando (21) acciones. 
Magnitud Ejecutada en este período es de (2.138), pasamos de (13.645) a (15.828) personas beneficiadas, INTÉGRATE POR TU SALUD: Se da cumplimento a la estrategia en este periodo, adelantando (4) Acciones. Magnitud Ejecutada en este periodo (104) se pasa de (1.005) a (1.109) personas beneficiadas.PASOS SALUDABLES: Se da cumplimento a la estrategia en este periodo, adelantando (4) Acciones. Magnitud Ejecutada Acumulada en este periodo se mantiene en (1.127) al no reportarse nuevas personas beneficiadas. VIDA ACTIVA: Se da cumplimento a la estrategia en este periodo, adelantando (4) acciones. 
Magnitud Ejecutada Acumulada en este periodo (133) pasamos de (5.734) a (5.867), EVENTOS DE CONCENTRACIÓN Y PROMOCIÓN: Se da cumplimento a la estrategia en este periodo, adelantando (2) acciones. 
Magnitud Ejecutada Acumulada en este periodo para Eventos de Concentración es del (52,78%), se realizaron 10 eventos y se impactaron un total de (867) personas.
Magnitud Ejecutada Acumulada en este periodo para Eventos de Promoción es del (79,33%), se realizaron 9 eventos y se impactaron un total de (667) personas..
         A CORTE DE OCTUBRE DE 2025:     Desarrollar Campañas de Sensibilización sobre temas relacionados con enfermedades no transmisibles y sus factores de riesgo, como lo fueron Durante el periodo se ejecutó la campaña programada:  
Campaña de Lucha contra el cáncer de mama “Cartagena detecta tempranamente y protege a las mujeres con cáncer de mama”
Objetivo general:Promover la detección temprana del cáncer de mama mediante la educación, la autoexploración y los chequeos médicos periódicos.
Objetivos específicos:•	Fomentar la concientización sobre la importancia de la prevención. •	Enseñar la técnica correcta de autoexploración mamaria.•	Facilitar el acceso a información y servicios médicos. •	Romper mitos y reducir el miedo o estigma asociados al diagnóstico. •	Jornadas presenciales o	Charlas y talleres sobre prevención y detección temprana.o	Demostraciones prácticas de autoexploración (con modelos anatómicos).o	Ferias de salud con mamografías o consultas gratuitas. •	Colaboraciones o	Con empresas locales públicas y privadas •	Eventos simbólicos o	Iluminación de edificios públicos de color rosa. o	Caminata “Por la vida”.
Se da cumplimento a la estrategia en este periodo, adelantando (17) acciones, beneficiando (1.761) personas de las 3 localidades y área rural. Magnitud Ejecutada Acumulada en este periodo (8.319) . ENTORNOS SALUDABLES: Se da cumplimento a la estrategia en este periodo, adelantando (23) acciones. 
Magnitud Ejecutada en este período es de (2.663), pasamos de (10.982) a (13.645) personas beneficiadas.    INTEGRATE POR TU SALUD :       Se da cumplimento a la estrategia en este periodo, adelantando (4) Acciones. Magnitud Ejecutada en este periodo (215) se pasa de (712) a (927) personas beneficiadas. PASOS SALUDABLES: Se da cumplimento a la estrategia en este periodo, adelantando (4) Acciones.  Magnitud Ejecutada Acumulada en este periodo (27) aumentando de (1.100) a (1.127) personas beneficiadas. VIDA ACTIVA :   Se da cumplimento a la estrategia en este periodo, adelantando (4) acciones. Magnitud Ejecutada Acumulada en este periodo (79) pasamos de (5.657) a (5.736). EVENTOS DE CONCENTRACIÓN Y PROMOCIÓN : -	La meta del cuatrienio (2024 – 2027) en Eventos de Concentración es de 720, se tiene un acumulado del año anterior de 145 eventos realizados. -	La meta del cuatrienio (2024 – 2027) en Eventos de Promoción es de 600, se tiene un acumulado del año pasado de 118 eventos ejecutados. Se da cumplimento a la estrategia en este periodo, adelantando (2) acciones.  Magnitud Ejecutada Acumulada en este periodo para Eventos de Concentración es del (47,22%), se realizaron 12 eventos y se impactaron un total de (1.180) personas. Magnitud Ejecutada Acumulada en este periodo para Eventos de Promoción es del (73,33%), se realizaron 5 eventos y se impactaron un total de (479) personas..
      A CORTE 15 DE SEPTIEMBRE DE 2025:1.“Campañas de sensibilización sobre temas relacionados con enfermedades crónicas no transmisibles y sus factores de riesgo”: En este periodo hemos dado cumplimient¨"o al cronograma de actividades proyectadas, adelantando las campañas de “Cartagena es Violeta” donde se movilizaron más de 3.350 personas, campaña de “Hipertensión y Prevención del Consumo de Tabaco” logramos sensibilizar a más de 763 personas, Campaña de “Lactancia Materna” llegamos a 847 madres gestantes y lactantes, Campaña de “Obesidad” logramos beneficiar a 538 personas, Campaña “Salud Mental” beneficiando a 194 personas., 2.	“Entornos Saludables”: Empresa Saludable 5.893 beneficiadosCentros Penitenciarios y Carcelarios 587 beneficiados, Ambientes Saludables 2.061, Plogging 400 beneficiados, Actívate Gestante 448, En total se han podido beneficiar (9.389) personas, de los cuales 7.577 fueron mujeres y 1.812 fueron hombres, 3.	“Intégrate por tu Salud” 3.1	Aquaeróbic: reporta un total de (697) personas participantes de los cuales 666 fueron mujeres y 31 fueron hombres 
3.2	Jóvenes de Especial Atención: registra un total de (230) jóvenes atendidos en la Fundación Talid, Hogares Crea y Construyendo Ciudad, todos fueron hombres.    ”: Pasos Saludables”: 4.1	Caminante Saludable: se reporta un total de (217) personas registradas, de los cuales 192 son mujeres y 25 hombres. Puntos activos (9), 4.2	Actívate Running: se reporta un total de (152) personas registradas, de los cuales 115 son mujeres y 37 hombres. Puntos Activos (4), 4.3	Actívate en el Parque: se reporta un total de (706) personas impactadas, de los cuales 637 son mujeres y 69 son hombres. Puntos Activos (14), Pasos saludables,4.4	Actívate Rodando: en el momento no se cuenta con ningún punto activo, a la espera de la contratación de la persona idónea para el desarrollo de la estrategia..
5.	“Vida Activa”:5.1	Madrúgale a la Salud: se reporta un total de (2.586) personas registradas, de los cuales 2.360, son mujeres y 226 son hombres y con (52) puntos de actividad física activos., 5.2	Noches Saludables: reporta un total de (2.445) personas registradas, de los cuales 2.376 son mujeres y 69 son hombres y (49) puntos de actividad física activos., 5.3	Joven Saludable: reportamos un total de (466) jóvenes registrados, de los cuales 325 son mujeres y 141 son hombres y (9) núcleos activos.
Eventos:1.	Eventos de Concentración: se han realizado 63 con un total de 8.842 personas participantes de las cuales 8.442 han sido mujeres y 400 hombres.Se realizo el día 24 de mayo en el Campo de Sóftbol del Corregimiento de La Boquilla el Evento de Concentración Actívate en tu Corregimiento, con la presencia de 180 usuarios de los puntos de actividad física de MS La Boquilla, MS Puerto Rey, MS Bayunca, NS Arroyo de Piedra, NS Tierra Baja, NS Punta Canoa, NS Bayunca y NS Pontezuela.
2.	Eventos de promoción: se han realizado 91 con un total de 5.196 personas participantes de las cuales 4.813 han sido mujeres y 383 hombres, 3.	Eventos con Empresas: se han realizado 6 con un total de 2.061 personas participantes, de las cuales 1.194. han sido mujeres y 867 fueron hombres.A CORTE AGOSTO DE 2025: "Entornos Saludables": Se da cumplimento a la estrategia en este periodo, adelantando (36) acciones., Magnitud Ejecutada en este período es de (2.146), pasamos de (7.047) a (9.193) personas beneficiadas. “Intégrate por tu Salud”:  Se da cumplimento a la estrategia en este periodo, adelantando (4) Acciones. 
Magnitud Ejecutada en este periodo (170) se pasa de (542) a (712) personas beneficiadas.“Pasos Saludables": Se da cumplimento a la estrategia en este periodo, adelantando (3) Acciones. 
Magnitud Ejecutada Acumulada en este periodo (67) se aumenta de (1.009) a (1.076) personas beneficiadas.“Vida Activa”: Se da cumplimento a la estrategia en este periodo, adelantando (3) acciones. 
Magnitud Ejecutada Acumulada en este periodo (83) pasamos de (5.414) a (5.497), -La meta del cuatrienio (2024 – 2027) en Eventos de Concentración es de 720, se tiene un acumulado del año anterior de 145 eventos realizados.
-	La meta del cuatrienio (2024 – 2027) en Eventos de Promoción es de 600, se tiene un acumulado del año pasado de 118 eventos ejecutados.
Se da cumplimento a la estrategia en este periodo, adelantando (2) acciones. Magnitud Ejecutada Acumulada en este periodo para Eventos de Concentración es del (35,00%), se realizaron 4 eventos y se impactaron un total de (389) personas.A CORTE 20 DE JULIO DE  2025:  ENTORNES SALUDABLES: Se da cumplimento a la estrategia en este periodo, adelantando (24) acciones. Magnitud Ejecutada en este período es de (1.319), pasamos de (5.728) a (7.047) personas beneficiadas. INTEGRATE POR TU SALUD: Se da cumplimento a la estrategia en este periodo, adelantando (4) Acciones. Magnitud Ejecutada en este periodo (171) se pasa de (371) a (542) personas beneficiadas.     PASOS SALUDABLES: Se da cumplimento a la estrategia en este periodo, adelantando (3) Acciones. 
Magnitud Ejecutada Acumulada en este periodo (92) se aumenta de (917) a (1.009) personas beneficiadas. VIDA SALUDABLE: Se da cumplimento a la estrategia en este periodo, adelantando (3) acciones. Magnitud Ejecutada Acumulada en este periodo (430) pasamos de (4.984) a (5.414).  A CORTE 20 DE JUNIO DE 2025: ENTORNOS SALUDABLES : Se da cumplimento a la estrategia en este periodo, adelantando (17) acciones. Magnitud Ejecutada en este periodo es de (856), pasamos de (4.872) a (5.728) personas beneficiadas., INTEGRATÉ POR TU SALUD: Se da cumplimento a la estrategia en este periodo, adelantando (4) Acciones. Magnitud Ejecutada en este periodo (130) se pasa de (153) a (283) personas beneficiadas., PASOS SALUDABLES: Se da cumplimento a la estrategia en este periodo, adelantando (3) Acciones. Magnitud Ejecutada Acumulada en este periodo (9) se aumenta de (908) a (917) personas beneficiadas. VIDA ACTIVA: Se da cumplimento a la estrategia en este periodo, adelantando (4) acciones. Magnitud Ejecutada Acumulada en este periodo (198) pasamos de (4.786) a (4.984),  </t>
  </si>
  <si>
    <t xml:space="preserve">DE ENERO A DICIEMBRE DE 2025 : Se impulsaron y apoyaron a  sesenta y seiso (66) eventos deportivos, los cuales fueron: Campeonato de Badminto y Running. Los  eventos de enero a diciembre de 2025 beneficaron a 192.376 personas.  DE ENERO A NOVIEMBRE DE 2025 : Se impulsaron y apoyaron a  sesenta y cuatro    (64) eventos deportivos, los cuales fueron: REAL CARTAGENA,Media Maratón del Mar ,
VS
BOGOTA,Clásica de la Candelaria,REAL CARTAGENA, VS BOCA JUNIORS DE CALI, Torneo Fedecoltenis Nacional, REAL CARTAGENA, VS
REAL SANTANDER, Torneo Acismabol, Open Latino, Sub-17 , Campamento Salvamento, ACISMABOL, TRAVESIA TIERRA BOMBA,REAL CARTAGENA, VS PATRIOTAS, CAMPEONATO NACIONAL, REAL CARTAGENA VS JAGUARES , HOLYWEEK, CORRE Y ANUNCIA TU FE, REAL CARTAGENA VS ATLETICO HUILA, TORNEO INTERNACIONAL,  SUPER TITANES, REAL CARTAGENA, VS BARRANQUILLA, I CLASICA INTEGRADA DEL CARIBE, Del Castillo a la Popa, REAL CARTAGENA, VS TIGRES, REAL CARTAGENA, VS MILLONARIOS, TORNEO INTERNACIONAL JUVENIL DE TENIS, IRONMAN 51/5O, REAL CARTAGENA,  VS BARRANQUILLA, REAL CARTAGENA, VS ORSO MARSO, III TORNEO NATACION MASTER, ACISMABOL, TORNEO INTERNACIONAL JIU-JITSU, REAL CARTAGENA VS ATLETICO FC, REAL CARTAGENA VS CUCUTA, TORNEO ACISMABOL, FESTIVAL BICENTARIO, CHERRY CUP BY DEL MAR (PADEL), JORNADA DE CANOTAJE ELITE, FESTIVAL DE FUTBOL  BABY FUTBOL, FESTIVAL DE AJEDREZ Y TENIS DE MESA, REAL CARTAGENA vs BOCA JUNIOR, PATIN DE ORO, RETO BICI, TORNEO ACISMABOL, IRONMAN 70.3   .Estos eventos beneficaron a 191.826 personas. 
DE ENERO A DICIEMBRE DE 2025: Se desarrollaron y/o apoyaron  de veintitrés (23) eventos recreativos y de hábitos se beneficiaron a 31.911 personas. aproximadamente. DE ENERO A  NOVIEMBRE DE 2025 : Se desarrollaron y/o apoyaron De los veintitrés(23)eventos recreativos y de hábitos se beneficiaron a 31.911 personas aproximadamente. Los cuales se describen a continuación :La Candelaria, Media Maraton del Mar Kids, UTB GO,CARRERA POR LOS
HEROESDIA DE LAS MADRES,  CUMPLEAÑOS DE CARTAGENA ,MARATON REGIONES 
COLOMBIA, JOVEN RUN, GRAN RETICO, RUN MOVISTAR,TECNOLOGICO COMFENALCO
(THE FAMILY RUN), CARRERA 11K SAN 
VALENTIN, CARRERA ATLETICA 5K, HEROES DE LUZ, PINK RUN FESTIVAL
(FRESATA), SUPERCLASE NOVEMBRINA, MUERGATÓN DEL CARIBE, CAMINATA ROSA, CARRERA 5K, ANGELES SOMOS, ACTIVIDAD FISICA, FONRECAR RUN, DIA MUNDIAL DE ACTIVIDAD FISICA. </t>
  </si>
  <si>
    <t xml:space="preserve">DE ENERO A DICIEMBRE DE 2025 : Se impulsaron y apoyaron a  sesenta y seiso (66) eventos deportivos, los cuales fueron: Campeonato de Badminto y Running. Los  eventos de enero a diciembre de 2025 beneficaron a 192.376 personas.  DE ENERO A NOVIEMBRE DE 2025 : Se impulsaron y apoyaron a  sesenta y cuatro    (64) eventos deportivos, los cuales fueron: REAL CARTAGENA,Media Maratón del Mar ,
VS
BOGOTA,Clásica de la Candelaria,REAL CARTAGENA, VS BOCA JUNIORS DE CALI, Torneo Fedecoltenis Nacional, REAL CARTAGENA, VS
REAL SANTANDER, Torneo Acismabol, Open Latino, Sub-17 , Campamento Salvamento, ACISMABOL, TRAVESIA TIERRA BOMBA,REAL CARTAGENA, VS PATRIOTAS, CAMPEONATO NACIONAL, REAL CARTAGENA VS JAGUARES , HOLYWEEK, CORRE Y ANUNCIA TU FE, REAL CARTAGENA VS ATLETICO HUILA, TORNEO INTERNACIONAL,  SUPER TITANES, REAL CARTAGENA, VS BARRANQUILLA, I CLASICA INTEGRADA DEL CARIBE, Del Castillo a la Popa, REAL CARTAGENA, VS TIGRES, REAL CARTAGENA, VS MILLONARIOS, TORNEO INTERNACIONAL JUVENIL DE TENIS, IRONMAN 51/5O, REAL CARTAGENA,  VS BARRANQUILLA, REAL CARTAGENA, VS ORSO MARSO, III TORNEO NATACION MASTER, ACISMABOL, TORNEO INTERNACIONAL JIU-JITSU, REAL CARTAGENA VS ATLETICO FC, REAL CARTAGENA VS CUCUTA, TORNEO ACISMABOL, FESTIVAL BICENTARIO, CHERRY CUP BY DEL MAR (PADEL), JORNADA DE CANOTAJE ELITE, FESTIVAL DE FUTBOL  BABY FUTBOL, FESTIVAL DE AJEDREZ Y TENIS DE MESA, REAL CARTAGENA vs BOCA JUNIOR, PATIN DE ORO, RETO BICI, TORNEO ACISMABOL, IRONMAN 70.3   .Estos eventos beneficaron a 191.826 personas. </t>
  </si>
  <si>
    <t xml:space="preserve">DE ENERO A DICIEMBRE DE 2025: Se desarrollaron y/o apoyaron  de veintitrés (23) eventos recreativos y de hábitos se beneficiaron a 31.911 personas.  DE ENERO A  NOVIEMBRE DE 2025 : Se desarrollaron y/o apoyaron De los veintitrés(23)eventos recreativos y de hábitos se beneficiaron a 31.911 personas aproximadamente. Los cuales se describen a continuación :La Candelaria, Media Maraton del Mar Kids, UTB GO,CARRERA POR LOS
HEROESDIA DE LAS MADRES,  CUMPLEAÑOS DE CARTAGENA ,MARATON REGIONES 
COLOMBIA, JOVEN RUN, GRAN RETICO, RUN MOVISTAR,TECNOLOGICO COMFENALCO
(THE FAMILY RUN), CARRERA 11K SAN 
VALENTIN, CARRERA ATLETICA 5K, HEROES DE LUZ, PINK RUN FESTIVAL
(FRESATA), SUPERCLASE NOVEMBRINA, MUERGATÓN DEL CARIBE, CAMINATA ROSA, CARRERA 5K, ANGELES SOMOS, ACTIVIDAD FISICA, FONRECAR RUN, DIA MUNDIAL DE ACTIVIDAD FISICA. </t>
  </si>
  <si>
    <t>DE ENERO A DICIEMBRE DE 2025: 
•	Reunión de planeación y proyección de Juegos Mar Y Playa. 
•	Socialización de los Juegos Mar Y Playa con los coordinadores de los proyectos Afro Y Comunales 
•	Se Llevaron A Cabo Los Juegos De Mar Y Playa , donde se impactaron 300 personas. Se desarrollaron y/o apoyaron  de veintitrés (23) eventos recreativos y de hábitos se beneficiaron a 31.911 personas aproximadamente. A CORTE DE NOVIEMBRE DE 2025:•	1 noviembre, Apoyo en las actividades de grupos Étnicos de la localidad 3 , realizado en la universidad del Sinú , participaron alrededor de 150 niños , entre las edades de 8 a 13 años , de los cuales 80 eran niñas y 70.niños
•	19 noviembre, Se participó en la Jornada de Fortalecimiento Institucional de Asuntos Étnicos,  Universidad Los Libertadores
•	Se realizó reunión de planificación de los Juegos de Mar y playa, se espera poder dar inicio en la primera semana del mes de diciembre. 
•	Se está a la espera de las asignaciones de los recursos para el desarrollo de los Juegos de Mar y playa, el proyecto se encuentra en proceso en el área Jurídica. IDER. A CORTE DE OCTUBRE DE 2025:    •	Se llevó a cabo apoyo a la actividad en Olaya Ricaurte con los jóvenes del sector, organizado por el proyecto Esquina J. Apoyado por el IDER
•	Se apoyó Torneo De Fútbol De Salón donde participaron alrededor de 50 jóvenes Afro del sector de Olaya Ricaurte.
 IDER                                                                                                                                                                                            .          A corte de 15 de septiembre se reporta:
•	5 septiembre, se asistió a la mesa de trabajo en la casa AIKU en la temática correspondiente al archipiélago de San Bernardo.
•	Se realizo mesa de trabajo en donde se llevó a cabo la planeación de Juegos Afro Mar y Playa los cuales se tiene proyectados el desarrollo de los mismos en el mes de octubre 2025. A corte de 31 de agosto se reporta:
•	Los Juegos Afro se dieron por finalizado en el pasado mes de julio cumpliendo a cabalidad con el objetivo pactado,  En el mes de agosto se llevó a cabo reunión con coordinador y jefe de área en donde se realizó análisis DOFA de los Juegos Afro con miras a mejorar juegos de la inclusión 2026. A corte de 31 de julio se reporta:
1.	03 y 16 de julio, se realizó reunión con el equipo de trabajo seguimiento de las programaciones ejecutadas en las diferentes disciplinas.
2.	Para este periodo se desarrollan las programaciones de los Juegos De La Inclusión en los cuales los Juegos Afro hacen parte de estos como estrategia fundamental para las comunidades NARP. Y se cuenta con 814 inscritos. 
3.	Los Juegos Afro se dieron por finalizado el día 20 de julio. En la cual se describen los ganadores de cada disciplina deportiva y su categoría. A corte de 30 de junio se reporta:
•	17 de junio, se realizó reunión con el equipo de trabajo seguimiento de las programaciones ejecutadas en las diferentes disciplinas.
•	Para este periodo se desarrllan las programaciones de los Juegos De La Inclusión en los cuales los Juegos Afro hacen parte de estos como estrategia fundamental para las comunidades NARP. Y se cuenta con 814 inscritos.</t>
  </si>
  <si>
    <t xml:space="preserve">A CORTE DE DICIEMBRE DE 2025:
•	Reunión de planeación y proyección de Juegos Mar Y Playa. 
•	Socialización de los Juegos Mar Y Playa con los coordinadores de los proyectos Afro Y Comunales 
•	Se Llevaron A Cabo Los Juegos De Mar Y Playa , donde se impactaron 300 personas.  A CORTE DE NOVIEMBRE DE 2025:  Se están llevando a cabo los Juegos de  Mar y Playa, en el cual participan más de 300 personas afro, a través de sus Consejos Comunitarios y equipos deportivos como lo son:  Consejo Comunitario de Bayunca, Boquilla, Ararca, Pasacaballos, Santa Ana y  Punta Arena Fútbol, Fundacaffem.      •	1 noviembre, Apoyo en las actividades de grupos Étnicos de la localidad 3 , realizado en la universidad del Sinú , participaron alrededor de 150 niños , entre las edades de 8 a 13 años , de los cuales 80 eran niñas y 70.niños
•	19 noviembre, Se participó en la Jornada de Fortalecimiento Institucional de Asuntos Étnicos,  Universidad Los Libertadores
•	Se realizó reunión de planificación de los Juegos de Mar y playa, se espera poder dar inicio en la primera semana del mes de diciembre. 
•	Se está a la espera de las asignaciones de los recursos para el desarrollo de los Juegos de Mar y playa, el proyecto se encuentra en proceso en el área Jurídica. IDER. A CORTE DE OCTUBRE DE 2025:   •	Se está a la espera de las asignaciones de los recursos para el desarrollo de los Juegos de Mar y playa , el proyecto se encuentra en proceso en el área Jurídica. IDER.  A corte de 15 de septiembre se reporta:
•	5 septiembre, se asistió a la mesa de trabajo en la casa AIKU en la temática correspondiente al archipiélago de San Bernardo.
•	Se realizó mesa de trabajo en donde se llevó a cabo la planeación de Juegos Afro Mar y Playa los cuales se tiene proyectados el desarrollo de los mismos en el mes de octubre 2025.     A corte de 31 de agosto se reporta:
•	20 agosto, se realizó reunión de planeación y organización de Juegos del Mar 2025.
•	Se le realiza seguimiento al proceso en el que se iniciará el convenio, el cual se encuentra en el área de jurídica para su respectiva elaboración, por medio del cual se dará inicio y ejecución de los Juegos del Mar y Playa proyectados para el mes de septiembre 2025, en la que dentro de sus disciplinas se encuentran:
	Canotaje
	Futbol Playa
	Voley playa
	Vara de premio
	Tennis Playa.     A corte julio de 2025: Se realizarán en el segundo trimestre de 2025 y de acuerdo a lo estipulado en la adicional del contrato de los Juegos de Inclusión </t>
  </si>
  <si>
    <t xml:space="preserve">A CORTE DE DICIEMBRE DE 2025 : 
A continuación se detallan las actividades y socializaciones realizadas con las comunidades Indígenas por parte de nuestro grupo de trabajo dentro del programa Indígenas: Se realizó reunión con jefe de área y coordinadores para socializar actividad recreo-deportiva Cabildo Caizeba de Bayunca cancha Sinai, Actividad Recreo-deportivo Partido De Futsalón Cancha Sinai, Cabildo Caizeba de Bayunca.
•	 A CORTE DE NOVIEMBRE DE 2025: Se realizó visita al cabildo Kaizem ubicado en el corregimiento de Membrillal para socializar  actividades requeridas por el capitán del cabildo Daniel Castillo, para la población joven masculina del cabildo, consistente en un torneo relámpago de futbol de salón dentro del cabildo, Se realizó visita al cabildo Kaizeba ubicado en el corregimiento de Bayunca, para la planeación de actividades recreo deportivas con la población joven femenina e indígena de la comunidad, coordinadas por el capitán del cabildo, Carlos Zurita., Se estableció comunicación con personal de la coordinación deportiva del cabildo Kankuamo ubicado en el barrio El Pozón, para socializar actividades recreo deportiva con todos los niños del cabildo en la cancha ubicada en el sector de Ciudadela La Paz, Se realizó visita al cabildo Kainzhazb ubicado en el corregimiento de Bayunca, para socializar actividades donde se incluyan ejercicios aeróbicos para mejorar la salud de las madres cabezas de hogar  y toda la población femenina de esta comunidad, Se realizó asistencia por personal de la coordinación de los juegos Indígenas  a una Jornada de Fortalecimiento Institucional de Asuntos Étnicos en el auditorio  de la Universidad Los Libertadores.  A corte de 31 de Octubre se reporta:
•	Se realizó actividad  predeportivas  dentro de la cancha de futbol de salón del cabildo, cumpliendo con una solicitud, realizada por el capitán del cabildo Daniel Catillo, en la que participaría jóvenes y adultos de la comunidad.(Cabildo indígena Kaizem- Membrillal) participaron 30 personas, 
 A corte de 15 de septiembre se reporta: 
•	2 septiembre, en barrio Pozón cabildo Inga Y Kankuamos se llevó realizo actividad predeportiva y acompañamiento en conmemoración del Día Internacional de la Mujer Indígena,  “Mujer Ancestral: Salud, Alegría y Poder 
•	4 septiembre, en Membrillal Cabildo Caizem se llevó realizo actividad predeportiva y acompañamiento en conmemoración del Día Internacional de la Mujer Indígena,  “Mujer Ancestral: Salud, Alegría y Poder 
•	5 septiembre, en Cabildo Caizeba se llevó realizo actividad predeportiva y acompañamiento en conmemoración del Día Internacional de la Mujer Indígena,  “Mujer Ancestral: Salud, Alegría y Poder 
•	9 septiembre, en Cabildo Kaizerubab se llevó realizo actividad predeportiva y acompañamiento en conmemoración del Día Internacional de la Mujer Indígena,  “Mujer Ancestral: Salud, Alegría y Poder 
•	11 septiembre, en Bayunca Cabildo Kainhazb se llevó realizo actividad predeportiva y acompañamiento en conmemoración del Día Internacional de la Mujer Indígena,  “Mujer Ancestral: Salud, Alegría y Poder..A corte de 31 de agosto se reporta:
•	Para este periodo se realizó reunión con los líderes en pro de conocer un análisis DOFA de los Juegos Indígenas 2025 en donde se miran mejoras para los juegos 2026 y los compromisos semanales de actividades pre deportivos  en las comunidades indígenas a partir del mes de septiembre.
•	Se realizó reunión con coordinador de área y jefe de deportes en donde se socializo la planificación de las actividades programadas conmemoración del Día Internacional de la Mujer Indígena,  “Mujer Ancestral: Salud, Alegría y Poder” que se realizara en la primera semana de septiembre.
•	A corte de 31 de julio se reporta:
•	Para este periodo se continuó con el desarrollo  de los Juegos de la inclusión en donde hace parte como estrategia fundamental los Juegos Indígenas con la participación de los 6 cabildos del distrito, los Cabildos Kainzhabz, Kaiceba, Kaizem, Kankuamo, Inga y Kaizerupab en los cuales se reportan 470 inscritos. A corte de 30 de junio se reporta:
•	Para este periodo se desarrollan Juegos de la inclusión en donde hace parte como estrategia fundamental los Juegos Indígenas con la participación de los 6 cabildos del distrito, los Cabildos Kainzhabz, Kaiceba, Kaizem, Kankuamo, Inga y Kaizerupab en los cuales se reportan 470 inscritosA corte de 10 de junio se reporta: Se desarrollan Juegos de la inclusión en donde hace parte como estrategia fundamental los Juegos Indígenas con la participación de los 6 cabildos del distrito, en los cuales se reportan 467 inscritos.A corte de 30 de Mayo se reporta:
•	Se realizó la entrega de uniformes a las Autoridades de los Cabildos Kainzhabz, Kaiceba, Kaizem, Kankuamo, Inga y Kaizerupab en las instalaciones del Instituto IDER.
•	Se realizó la inauguración de los Juegos de la inclusión en donde hace parte como estrategia fundamental los Juegos Indígenas que en el Coliseo De Combate y Gimnasia Ignacio Amador de la Peña, con la participación de los 6 cabildos del distrito, donde se dieron cita 70 participantes de los Juegos Indígenas.
•	Se dio inicio de los Juegos indígenas en los cabildos Kaizem de Membrillal y Kaiceba de Bayunca, donde participaron alrededor de 98 jugadores de las poblaciones indígenas en disciplinas como: Futbol de salón, Pilón, Corte de leña, Vara de premio, Molino, tiro al blanco y Trenzado, se está trabajando para dar el inicio de las justas en los 4 cabildos faltantes en la que se impactaran a 490 personas, previamente identificados como población de los cabildos indígenas.
</t>
  </si>
  <si>
    <t>AVANCE ESTRATEGICO DEL IDER  A 31 DE DIC DE 2025</t>
  </si>
  <si>
    <t xml:space="preserve">El Complejo Deportivo Nuevo Chambacú en Cartagena registra un avance significativo cercano al 73%, entrando en su fase final con escenarios clave como la cancha múltiple y las escalinatas casi terminados, el skatepark al 90%, y los campos de fútbol/béisbol superando el 80%, integrando ahora urbanismo, iluminación y áreas verdes para convertirse en un gran distrito deportivo y recreativo para la ciudad. 
Detalles Clave del Avance (Enero 2026):
Avance General: Supera el 73% de ejecución física total.
Cancha Múltiple y Escalinatas: Terminadas y listas para uso.
Dugouts (Fútbol): 97% ejecutados, estructuras casi listas.
Skatepark: 90% avanzado, en detalles finales.
Campos de Fútbol y Béisbol: Más del 80% de avance, esperando grama sintética y acabados.
Urbanismo (Senderos, Zonas Verdes): 60% de avance, incluyendo accesos, andenes y parqueaderos.
Canales: Principales y perimetrales al 100% concluidos.
Cancha Fútbol 11 Infantil: 98% lista, con instalación de grama al 95%.
Cancha de Sóftbol y Graderías: 93% de avance, estructuras fundidas.
Accesos, Sanitarios y Camerinos: Entre 85% y 95% de ejecución. 
Impacto y Visión:
El proyecto busca transformar un espacio deteriorado en un moderno epicentro deportivo, recreativo y ambiental para toda la ciudad.
Incorporará iluminación fotovoltaica, espacios verdes y accesibilidad para todos.
Liderado por la Alcaldía de Cartagena, es una apuesta por la dignificación del espacio público y la transformación social a través del deporte. </t>
  </si>
  <si>
    <t>1.2.1.0.00-001 - ICLD</t>
  </si>
  <si>
    <t>1.3.2.3.01-011 - RF IDER</t>
  </si>
  <si>
    <t>1.3.3.1.00-001 RB ICLD</t>
  </si>
  <si>
    <t>1.2.3.1.18-025 -  TASA PRODEPORTE</t>
  </si>
  <si>
    <t>RECURSOS CONVENIOS MINDEPORTE</t>
  </si>
  <si>
    <t>1.2.4.3.01-059 - SGP DEPORTE</t>
  </si>
  <si>
    <t>1.2.2.0.00-097 - ICDE IDER 3% ICA</t>
  </si>
  <si>
    <t>1.3.3.3.19.95-025 RB TASA PRODEPORTE Y RECREACION</t>
  </si>
  <si>
    <t>1.3.3.8-01-95-059 RB SGP DEPORTES</t>
  </si>
  <si>
    <t>1.2.3.3.01-092 - PARTICIPACIONES DISTINTAS DEL SGP (IMPUESTO AL CONSUMO DE CIGARRILLOS Y TABACO)</t>
  </si>
  <si>
    <t>1.3.3.2.00-95.097 RB IDER 3% ICA</t>
  </si>
  <si>
    <t>1.3.3.8.01-95-122 RB RF SGP-DEPORTES</t>
  </si>
  <si>
    <t>1.3.3.8.01-209 RB RF SGP DEPORTE IDER</t>
  </si>
  <si>
    <t>1.3.3.8.01-059 RB SGP DEPORTES</t>
  </si>
  <si>
    <t>1.2.3.1.02-024 - IMPUESTO DE ESPECTACULOS PUBLICOS IDER</t>
  </si>
  <si>
    <t>RECURSOS CONVENIO DISTRITO DE CARTAGENA</t>
  </si>
  <si>
    <t>1.3.3.11.03-93-062 - RB DIVIDENDOS ACUACAR</t>
  </si>
  <si>
    <t>1.3.2.2.08-122 - RF SGP DEPORTE</t>
  </si>
  <si>
    <t>1.2.3.2.27-135 - VENTA DE BIENES Y SERVICIOS IDER</t>
  </si>
  <si>
    <t>1.3.3.11.03-93-137 - RB DIVIDENDOS CARTAGENA II</t>
  </si>
  <si>
    <t>1.3.3.11.03-93-138 - RB DIVIDENDOS SOCIEDAD PORTUARIA</t>
  </si>
  <si>
    <t>1.3.3.11.03-93-139 - DIVIDENDOS TERMINAL DE TRANSPORTE</t>
  </si>
  <si>
    <t>1.2.2.0.00-204 INGRESOS CORRIENTES DE DESTINACIÓN ESPECÍFICA ICDE - IPU</t>
  </si>
  <si>
    <t>1.3.2.2.08-209 - RF SGP DEPORTE IDER</t>
  </si>
  <si>
    <t>1.3.3.3.19.93-025 RB TASA PRODEPORTE Y RECREACION</t>
  </si>
  <si>
    <t>1.3.3.8.01-93-122 RB RF SGP-DEPORTES</t>
  </si>
  <si>
    <t>1.3.1.1.03-137 - DIVIDENDOS CARTAGENA II</t>
  </si>
  <si>
    <t>1.3.3.3.19-025 RB TASA PRODEPORTE Y RECREACION</t>
  </si>
  <si>
    <t>1.3.3.2.00-097 RB IDER 3% ICA</t>
  </si>
  <si>
    <t>1.3.1.1.02-03 – EXCEDENTES FINANCIEROS 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</si>
</sst>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 #,##0_-;\-* #,##0_-;_-* &quot;-&quot;??_-;_-@_-"/>
    <numFmt numFmtId="165" formatCode="_(&quot;$&quot;\ * #,##0.00_);_(&quot;$&quot;\ * \(#,##0.00\);_(&quot;$&quot;\ * &quot;-&quot;??_);_(@_)"/>
    <numFmt numFmtId="166" formatCode="0.0%"/>
    <numFmt numFmtId="167" formatCode="0.000%"/>
    <numFmt numFmtId="168" formatCode="_-[$$-240A]\ * #,##0.00_-;\-[$$-240A]\ * #,##0.00_-;_-[$$-240A]\ * &quot;-&quot;??_-;_-@_-"/>
    <numFmt numFmtId="169" formatCode="_-[$$-409]* #,##0.00_ ;_-[$$-409]* \-#,##0.00\ ;_-[$$-409]* &quot;-&quot;??_ ;_-@_ "/>
  </numFmts>
  <fonts count="45">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eial "/>
    </font>
    <font>
      <sz val="11"/>
      <color theme="1"/>
      <name val="Arial "/>
    </font>
    <font>
      <sz val="11"/>
      <color rgb="FF000000"/>
      <name val="Arial"/>
      <family val="2"/>
    </font>
    <font>
      <sz val="10"/>
      <color theme="1"/>
      <name val="Arial"/>
      <family val="2"/>
    </font>
    <font>
      <sz val="14"/>
      <color theme="1"/>
      <name val="Arial "/>
    </font>
    <font>
      <sz val="14"/>
      <color theme="1"/>
      <name val="Arial"/>
      <family val="2"/>
    </font>
    <font>
      <u/>
      <sz val="11"/>
      <color theme="1"/>
      <name val="Aptos Narrow"/>
      <family val="2"/>
      <scheme val="minor"/>
    </font>
    <font>
      <sz val="12"/>
      <color rgb="FF000000"/>
      <name val="Arial"/>
      <family val="2"/>
    </font>
    <font>
      <b/>
      <sz val="11"/>
      <name val="Arial "/>
    </font>
    <font>
      <b/>
      <sz val="14"/>
      <color rgb="FFFF0000"/>
      <name val="Arial"/>
      <family val="2"/>
    </font>
    <font>
      <b/>
      <u/>
      <sz val="11"/>
      <color theme="1"/>
      <name val="Arial"/>
      <family val="2"/>
    </font>
    <font>
      <b/>
      <sz val="11"/>
      <color rgb="FFFF0000"/>
      <name val="Arial"/>
      <family val="2"/>
    </font>
    <font>
      <b/>
      <sz val="11"/>
      <color rgb="FFFF0000"/>
      <name val="Aptos Narrow"/>
      <family val="2"/>
      <scheme val="minor"/>
    </font>
    <font>
      <b/>
      <sz val="14"/>
      <color rgb="FFFF0000"/>
      <name val="Aptos Narrow"/>
      <family val="2"/>
      <scheme val="minor"/>
    </font>
    <font>
      <u/>
      <sz val="11"/>
      <color theme="10"/>
      <name val="Aptos Narrow"/>
      <family val="2"/>
      <scheme val="minor"/>
    </font>
    <font>
      <b/>
      <sz val="14"/>
      <name val="Aptos Narrow"/>
      <family val="2"/>
      <scheme val="minor"/>
    </font>
    <font>
      <sz val="11"/>
      <name val="Arial"/>
      <family val="2"/>
    </font>
    <font>
      <b/>
      <sz val="14"/>
      <name val="Arial"/>
      <family val="2"/>
    </font>
    <font>
      <sz val="10"/>
      <color theme="1"/>
      <name val="Aptos Narrow"/>
      <family val="2"/>
      <scheme val="minor"/>
    </font>
    <font>
      <b/>
      <sz val="11"/>
      <color rgb="FF000000"/>
      <name val="Aptos Narrow"/>
      <family val="2"/>
    </font>
    <font>
      <sz val="11"/>
      <color rgb="FF000000"/>
      <name val="Aptos Narrow"/>
      <family val="2"/>
    </font>
    <font>
      <b/>
      <sz val="10"/>
      <color theme="1"/>
      <name val="Aptos Narrow"/>
      <family val="2"/>
      <scheme val="minor"/>
    </font>
  </fonts>
  <fills count="2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83E28E"/>
        <bgColor indexed="64"/>
      </patternFill>
    </fill>
    <fill>
      <patternFill patternType="solid">
        <fgColor theme="0" tint="-0.34998626667073579"/>
        <bgColor indexed="64"/>
      </patternFill>
    </fill>
    <fill>
      <patternFill patternType="solid">
        <fgColor rgb="FF00B0F0"/>
        <bgColor indexed="64"/>
      </patternFill>
    </fill>
    <fill>
      <patternFill patternType="solid">
        <fgColor theme="8" tint="0.39997558519241921"/>
        <bgColor indexed="64"/>
      </patternFill>
    </fill>
    <fill>
      <patternFill patternType="solid">
        <fgColor rgb="FFFF0000"/>
        <bgColor indexed="64"/>
      </patternFill>
    </fill>
    <fill>
      <patternFill patternType="solid">
        <fgColor theme="3" tint="0.89999084444715716"/>
        <bgColor indexed="64"/>
      </patternFill>
    </fill>
    <fill>
      <patternFill patternType="solid">
        <fgColor rgb="FF92D050"/>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44"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cellStyleXfs>
  <cellXfs count="862">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ill="1" applyAlignment="1">
      <alignment horizont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0" fillId="5" borderId="9"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10"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7"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4"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26" fillId="10"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26"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26" fillId="11"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1" fontId="7" fillId="14" borderId="1" xfId="0" applyNumberFormat="1"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7" fillId="15" borderId="1" xfId="0" applyFont="1" applyFill="1" applyBorder="1" applyAlignment="1">
      <alignment horizontal="center" vertical="center"/>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7" fillId="16" borderId="1" xfId="0" applyFont="1" applyFill="1" applyBorder="1" applyAlignment="1">
      <alignment horizontal="center" vertical="center"/>
    </xf>
    <xf numFmtId="0" fontId="25" fillId="1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23" fillId="18" borderId="1" xfId="0" applyFont="1" applyFill="1" applyBorder="1" applyAlignment="1">
      <alignment horizontal="center" vertical="center" wrapText="1"/>
    </xf>
    <xf numFmtId="0" fontId="0" fillId="18" borderId="1" xfId="0" applyFill="1" applyBorder="1" applyAlignment="1">
      <alignment horizontal="center" vertical="center"/>
    </xf>
    <xf numFmtId="1" fontId="7" fillId="18" borderId="1" xfId="0" applyNumberFormat="1" applyFont="1" applyFill="1" applyBorder="1" applyAlignment="1">
      <alignment horizontal="center" vertical="center"/>
    </xf>
    <xf numFmtId="0" fontId="24" fillId="7" borderId="1" xfId="0" applyFont="1" applyFill="1" applyBorder="1" applyAlignment="1">
      <alignment horizontal="center" vertical="center" wrapText="1"/>
    </xf>
    <xf numFmtId="0" fontId="24" fillId="12" borderId="1" xfId="0" applyFont="1" applyFill="1" applyBorder="1" applyAlignment="1">
      <alignment horizontal="center" vertical="center" wrapText="1"/>
    </xf>
    <xf numFmtId="164" fontId="27" fillId="7" borderId="1" xfId="7" applyNumberFormat="1" applyFont="1" applyFill="1" applyBorder="1" applyAlignment="1">
      <alignment horizontal="center" vertical="center"/>
    </xf>
    <xf numFmtId="43" fontId="28" fillId="3" borderId="1" xfId="7" applyFont="1" applyFill="1" applyBorder="1" applyAlignment="1">
      <alignment horizontal="center" vertical="center"/>
    </xf>
    <xf numFmtId="43" fontId="28" fillId="10" borderId="1" xfId="7" applyFont="1" applyFill="1" applyBorder="1" applyAlignment="1">
      <alignment horizontal="center" vertical="center"/>
    </xf>
    <xf numFmtId="0" fontId="25" fillId="14" borderId="1" xfId="0" applyFont="1" applyFill="1" applyBorder="1" applyAlignment="1">
      <alignment horizontal="center" vertical="center" wrapText="1"/>
    </xf>
    <xf numFmtId="0" fontId="0" fillId="3" borderId="0" xfId="0" applyFill="1" applyAlignment="1">
      <alignment horizontal="center" vertical="center"/>
    </xf>
    <xf numFmtId="0" fontId="15" fillId="7"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10" fontId="15" fillId="7" borderId="1" xfId="0" applyNumberFormat="1" applyFont="1" applyFill="1" applyBorder="1" applyAlignment="1">
      <alignment horizontal="center" vertical="center" wrapText="1"/>
    </xf>
    <xf numFmtId="0" fontId="21" fillId="0" borderId="0" xfId="0" applyFont="1"/>
    <xf numFmtId="0" fontId="5" fillId="2" borderId="1" xfId="1" applyFont="1" applyFill="1" applyBorder="1" applyAlignment="1">
      <alignment horizontal="left" vertical="center"/>
    </xf>
    <xf numFmtId="0" fontId="5" fillId="0" borderId="1" xfId="0" applyFont="1" applyBorder="1" applyAlignment="1">
      <alignment horizontal="center" vertical="center" wrapText="1"/>
    </xf>
    <xf numFmtId="0" fontId="15" fillId="0" borderId="0" xfId="0" applyFont="1"/>
    <xf numFmtId="0" fontId="15"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5" fillId="14" borderId="1" xfId="0" applyFont="1" applyFill="1" applyBorder="1" applyAlignment="1">
      <alignment horizontal="center" vertical="center" wrapText="1"/>
    </xf>
    <xf numFmtId="43" fontId="7" fillId="10" borderId="1" xfId="7" applyFont="1" applyFill="1" applyBorder="1" applyAlignment="1">
      <alignment horizontal="center" vertical="center" wrapText="1"/>
    </xf>
    <xf numFmtId="43" fontId="7" fillId="7" borderId="1" xfId="7" applyFont="1" applyFill="1" applyBorder="1" applyAlignment="1">
      <alignment horizontal="center" vertical="center" wrapText="1"/>
    </xf>
    <xf numFmtId="0" fontId="25" fillId="19" borderId="1" xfId="0" applyFont="1" applyFill="1" applyBorder="1" applyAlignment="1">
      <alignment horizontal="center" vertical="center" wrapText="1"/>
    </xf>
    <xf numFmtId="43" fontId="7" fillId="19" borderId="1" xfId="7"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43" fontId="7" fillId="12" borderId="1" xfId="7" applyFont="1" applyFill="1" applyBorder="1" applyAlignment="1">
      <alignment horizontal="center" vertical="center" wrapText="1"/>
    </xf>
    <xf numFmtId="43" fontId="0" fillId="16" borderId="1" xfId="7" applyFont="1" applyFill="1" applyBorder="1" applyAlignment="1">
      <alignment horizontal="center" vertical="center" wrapText="1"/>
    </xf>
    <xf numFmtId="43" fontId="0" fillId="18" borderId="1" xfId="7" applyFont="1" applyFill="1" applyBorder="1" applyAlignment="1">
      <alignment horizontal="center" vertical="center" wrapText="1"/>
    </xf>
    <xf numFmtId="0" fontId="25" fillId="17" borderId="1" xfId="0" applyFont="1" applyFill="1" applyBorder="1" applyAlignment="1">
      <alignment horizontal="center" vertical="center" wrapText="1"/>
    </xf>
    <xf numFmtId="43" fontId="25" fillId="17" borderId="1" xfId="7" applyFont="1" applyFill="1" applyBorder="1" applyAlignment="1">
      <alignment horizontal="center" vertical="center" wrapText="1"/>
    </xf>
    <xf numFmtId="0" fontId="25" fillId="13" borderId="1" xfId="0" applyFont="1" applyFill="1" applyBorder="1" applyAlignment="1">
      <alignment horizontal="center" vertical="center" wrapText="1"/>
    </xf>
    <xf numFmtId="43" fontId="7" fillId="13" borderId="1" xfId="7" applyFont="1" applyFill="1" applyBorder="1" applyAlignment="1">
      <alignment horizontal="center" vertical="center" wrapText="1"/>
    </xf>
    <xf numFmtId="0" fontId="25"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8"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9" xfId="0" applyFont="1" applyBorder="1" applyAlignment="1">
      <alignment horizontal="center" vertical="center" wrapText="1"/>
    </xf>
    <xf numFmtId="0" fontId="7" fillId="3" borderId="1" xfId="0" applyFont="1" applyFill="1" applyBorder="1" applyAlignment="1">
      <alignment vertical="center" wrapText="1"/>
    </xf>
    <xf numFmtId="1" fontId="7" fillId="3" borderId="1" xfId="0" applyNumberFormat="1" applyFont="1" applyFill="1" applyBorder="1" applyAlignment="1">
      <alignment vertical="center"/>
    </xf>
    <xf numFmtId="0" fontId="7" fillId="10" borderId="1" xfId="0" applyFont="1" applyFill="1" applyBorder="1" applyAlignment="1">
      <alignment vertical="center" wrapText="1"/>
    </xf>
    <xf numFmtId="0" fontId="7" fillId="7" borderId="1" xfId="0" applyFont="1" applyFill="1" applyBorder="1" applyAlignment="1">
      <alignment vertical="center" wrapText="1"/>
    </xf>
    <xf numFmtId="1" fontId="7" fillId="7" borderId="1" xfId="0" applyNumberFormat="1" applyFont="1" applyFill="1" applyBorder="1" applyAlignment="1">
      <alignment vertical="center"/>
    </xf>
    <xf numFmtId="0" fontId="0" fillId="7" borderId="1" xfId="0" applyFill="1" applyBorder="1" applyAlignment="1">
      <alignment horizontal="center" vertical="center"/>
    </xf>
    <xf numFmtId="0" fontId="15" fillId="13" borderId="1"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0" fillId="0" borderId="0" xfId="0" applyAlignment="1">
      <alignment horizontal="center" vertical="center"/>
    </xf>
    <xf numFmtId="0" fontId="0" fillId="10" borderId="0" xfId="0" applyFill="1" applyAlignment="1">
      <alignment horizontal="center" vertical="center"/>
    </xf>
    <xf numFmtId="43" fontId="0" fillId="10" borderId="1" xfId="0" applyNumberFormat="1" applyFill="1" applyBorder="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0" fillId="15" borderId="0" xfId="0" applyFill="1" applyAlignment="1">
      <alignment horizontal="center" vertical="center"/>
    </xf>
    <xf numFmtId="0" fontId="0" fillId="16" borderId="0" xfId="0" applyFill="1" applyAlignment="1">
      <alignment horizontal="center" vertical="center"/>
    </xf>
    <xf numFmtId="0" fontId="0" fillId="17" borderId="0" xfId="0" applyFill="1" applyAlignment="1">
      <alignment horizontal="center" vertical="center"/>
    </xf>
    <xf numFmtId="0" fontId="15" fillId="18" borderId="1" xfId="0" applyFont="1" applyFill="1" applyBorder="1" applyAlignment="1">
      <alignment horizontal="center" vertical="center" wrapText="1"/>
    </xf>
    <xf numFmtId="0" fontId="0" fillId="18" borderId="0" xfId="0" applyFill="1" applyAlignment="1">
      <alignment horizontal="center" vertical="center"/>
    </xf>
    <xf numFmtId="0" fontId="0" fillId="0" borderId="0" xfId="0" applyAlignment="1">
      <alignment horizontal="center" vertical="center" wrapText="1"/>
    </xf>
    <xf numFmtId="0" fontId="29" fillId="0" borderId="0" xfId="0" applyFont="1" applyAlignment="1">
      <alignment horizontal="center" vertical="center"/>
    </xf>
    <xf numFmtId="43" fontId="7" fillId="18" borderId="1" xfId="7" applyFont="1" applyFill="1" applyBorder="1" applyAlignment="1">
      <alignment horizontal="center" vertical="center"/>
    </xf>
    <xf numFmtId="0" fontId="7" fillId="3" borderId="1" xfId="7" applyNumberFormat="1" applyFont="1" applyFill="1" applyBorder="1" applyAlignment="1">
      <alignment horizontal="center" vertical="center"/>
    </xf>
    <xf numFmtId="0" fontId="7" fillId="10" borderId="1" xfId="7" applyNumberFormat="1" applyFont="1" applyFill="1" applyBorder="1" applyAlignment="1">
      <alignment horizontal="center" vertical="center"/>
    </xf>
    <xf numFmtId="0" fontId="7" fillId="7" borderId="1" xfId="7" applyNumberFormat="1" applyFont="1" applyFill="1" applyBorder="1" applyAlignment="1">
      <alignment horizontal="center" vertical="center"/>
    </xf>
    <xf numFmtId="0" fontId="7" fillId="11" borderId="1" xfId="7" applyNumberFormat="1" applyFont="1" applyFill="1" applyBorder="1" applyAlignment="1">
      <alignment horizontal="center" vertical="center"/>
    </xf>
    <xf numFmtId="0" fontId="7" fillId="12" borderId="1" xfId="7" applyNumberFormat="1" applyFont="1" applyFill="1" applyBorder="1" applyAlignment="1">
      <alignment horizontal="center" vertical="center" wrapText="1"/>
    </xf>
    <xf numFmtId="0" fontId="7" fillId="13" borderId="1" xfId="7" applyNumberFormat="1" applyFont="1" applyFill="1" applyBorder="1" applyAlignment="1">
      <alignment horizontal="center" vertical="center" wrapText="1"/>
    </xf>
    <xf numFmtId="0" fontId="7" fillId="15" borderId="1" xfId="7" applyNumberFormat="1" applyFont="1" applyFill="1" applyBorder="1" applyAlignment="1">
      <alignment horizontal="center" vertical="center" wrapText="1"/>
    </xf>
    <xf numFmtId="0" fontId="7" fillId="16" borderId="1" xfId="7" applyNumberFormat="1" applyFont="1" applyFill="1" applyBorder="1" applyAlignment="1">
      <alignment horizontal="center" vertical="center" wrapText="1"/>
    </xf>
    <xf numFmtId="0" fontId="7" fillId="17" borderId="1" xfId="7" applyNumberFormat="1" applyFont="1" applyFill="1" applyBorder="1" applyAlignment="1">
      <alignment horizontal="center" vertical="center"/>
    </xf>
    <xf numFmtId="0" fontId="7" fillId="18" borderId="1" xfId="7" applyNumberFormat="1" applyFont="1" applyFill="1" applyBorder="1" applyAlignment="1">
      <alignment horizontal="center" vertical="center"/>
    </xf>
    <xf numFmtId="0" fontId="31" fillId="2" borderId="1" xfId="0" applyFont="1" applyFill="1" applyBorder="1" applyAlignment="1">
      <alignment horizontal="center" vertical="center" wrapText="1"/>
    </xf>
    <xf numFmtId="1" fontId="7" fillId="10" borderId="1" xfId="0" applyNumberFormat="1" applyFont="1" applyFill="1" applyBorder="1" applyAlignment="1">
      <alignment vertical="center"/>
    </xf>
    <xf numFmtId="0" fontId="24" fillId="10" borderId="1" xfId="0"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26" fillId="10" borderId="1" xfId="0" applyFont="1" applyFill="1" applyBorder="1" applyAlignment="1">
      <alignment horizontal="center" vertical="center" wrapText="1"/>
    </xf>
    <xf numFmtId="0" fontId="7" fillId="11" borderId="1" xfId="7" applyNumberFormat="1" applyFont="1" applyFill="1" applyBorder="1" applyAlignment="1">
      <alignment horizontal="center" vertical="center" wrapText="1"/>
    </xf>
    <xf numFmtId="0" fontId="26" fillId="12" borderId="1" xfId="0" applyFont="1" applyFill="1" applyBorder="1" applyAlignment="1">
      <alignment horizontal="center" vertical="center"/>
    </xf>
    <xf numFmtId="0" fontId="7" fillId="14" borderId="1" xfId="7" applyNumberFormat="1" applyFont="1" applyFill="1" applyBorder="1" applyAlignment="1">
      <alignment horizontal="center" vertical="center" wrapText="1"/>
    </xf>
    <xf numFmtId="1" fontId="7" fillId="15" borderId="1" xfId="7" applyNumberFormat="1" applyFont="1" applyFill="1" applyBorder="1" applyAlignment="1">
      <alignment horizontal="center" vertical="center"/>
    </xf>
    <xf numFmtId="0" fontId="26" fillId="15"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164" fontId="0" fillId="3" borderId="1" xfId="7" applyNumberFormat="1" applyFont="1" applyFill="1" applyBorder="1" applyAlignment="1">
      <alignment horizontal="center" vertical="center"/>
    </xf>
    <xf numFmtId="43" fontId="0" fillId="3" borderId="1" xfId="7" applyFont="1" applyFill="1" applyBorder="1" applyAlignment="1">
      <alignment horizontal="center" vertical="center" wrapText="1"/>
    </xf>
    <xf numFmtId="43" fontId="1" fillId="3" borderId="1" xfId="7" applyFont="1" applyFill="1" applyBorder="1" applyAlignment="1">
      <alignment horizontal="center" vertical="center" wrapText="1"/>
    </xf>
    <xf numFmtId="0" fontId="0" fillId="18" borderId="1" xfId="0"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5" fillId="2" borderId="18" xfId="0" applyFont="1" applyFill="1" applyBorder="1" applyAlignment="1">
      <alignment horizontal="center" vertical="center"/>
    </xf>
    <xf numFmtId="0" fontId="15" fillId="2" borderId="0" xfId="0" applyFont="1" applyFill="1"/>
    <xf numFmtId="0" fontId="15" fillId="2" borderId="1" xfId="0" applyFont="1" applyFill="1" applyBorder="1" applyAlignment="1">
      <alignment horizontal="justify" vertical="center" wrapText="1"/>
    </xf>
    <xf numFmtId="0" fontId="30"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wrapText="1"/>
    </xf>
    <xf numFmtId="0" fontId="0" fillId="0" borderId="1" xfId="0" applyBorder="1" applyAlignment="1">
      <alignment horizontal="center" vertical="center"/>
    </xf>
    <xf numFmtId="0" fontId="0" fillId="20" borderId="1" xfId="0" applyFill="1" applyBorder="1" applyAlignment="1">
      <alignment horizontal="center" vertical="center"/>
    </xf>
    <xf numFmtId="0" fontId="0" fillId="19" borderId="1" xfId="0" applyFill="1" applyBorder="1" applyAlignment="1">
      <alignment horizontal="center" vertical="center" wrapText="1"/>
    </xf>
    <xf numFmtId="0" fontId="5" fillId="7" borderId="1" xfId="0" applyFont="1" applyFill="1" applyBorder="1" applyAlignment="1">
      <alignment horizontal="center" vertical="center" wrapText="1"/>
    </xf>
    <xf numFmtId="10" fontId="15" fillId="7" borderId="1" xfId="0" applyNumberFormat="1" applyFont="1" applyFill="1" applyBorder="1" applyAlignment="1">
      <alignment horizontal="center" vertical="center"/>
    </xf>
    <xf numFmtId="0" fontId="24" fillId="21" borderId="1" xfId="0" applyFont="1" applyFill="1" applyBorder="1" applyAlignment="1">
      <alignment horizontal="center" vertical="center"/>
    </xf>
    <xf numFmtId="43" fontId="0" fillId="0" borderId="0" xfId="0" applyNumberFormat="1" applyAlignment="1">
      <alignment horizontal="center" vertical="center"/>
    </xf>
    <xf numFmtId="0" fontId="19" fillId="2" borderId="0" xfId="1" applyFont="1" applyFill="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horizontal="center" vertical="center"/>
    </xf>
    <xf numFmtId="10" fontId="28" fillId="3" borderId="1" xfId="13" applyNumberFormat="1" applyFont="1" applyFill="1" applyBorder="1" applyAlignment="1">
      <alignment horizontal="center" vertical="center" wrapText="1"/>
    </xf>
    <xf numFmtId="0" fontId="0" fillId="3" borderId="19" xfId="0" applyFill="1" applyBorder="1" applyAlignment="1">
      <alignment horizontal="center" vertical="center" wrapText="1"/>
    </xf>
    <xf numFmtId="43" fontId="7" fillId="10" borderId="19" xfId="7" applyFont="1" applyFill="1" applyBorder="1" applyAlignment="1">
      <alignment horizontal="center" vertical="center"/>
    </xf>
    <xf numFmtId="0" fontId="0" fillId="10" borderId="19" xfId="0" applyFill="1" applyBorder="1" applyAlignment="1">
      <alignment horizontal="center" vertical="center" wrapText="1"/>
    </xf>
    <xf numFmtId="164" fontId="24" fillId="7" borderId="19" xfId="7" applyNumberFormat="1" applyFont="1" applyFill="1" applyBorder="1" applyAlignment="1">
      <alignment horizontal="center" vertical="center"/>
    </xf>
    <xf numFmtId="43" fontId="7" fillId="3" borderId="19" xfId="7" applyFont="1" applyFill="1" applyBorder="1" applyAlignment="1">
      <alignment horizontal="center" vertical="center"/>
    </xf>
    <xf numFmtId="43" fontId="24" fillId="11" borderId="19" xfId="7" applyFont="1" applyFill="1" applyBorder="1" applyAlignment="1">
      <alignment horizontal="center" vertical="center"/>
    </xf>
    <xf numFmtId="0" fontId="0" fillId="11" borderId="19" xfId="0" applyFill="1" applyBorder="1" applyAlignment="1">
      <alignment horizontal="center" vertical="center" wrapText="1"/>
    </xf>
    <xf numFmtId="0" fontId="0" fillId="7" borderId="19" xfId="0" applyFill="1" applyBorder="1" applyAlignment="1">
      <alignment horizontal="center" vertical="center" wrapText="1"/>
    </xf>
    <xf numFmtId="0" fontId="0" fillId="12" borderId="19" xfId="0" applyFill="1" applyBorder="1" applyAlignment="1">
      <alignment horizontal="center" vertical="center" wrapText="1"/>
    </xf>
    <xf numFmtId="43" fontId="24" fillId="12" borderId="19" xfId="7" applyFont="1" applyFill="1" applyBorder="1" applyAlignment="1">
      <alignment horizontal="center" vertical="center"/>
    </xf>
    <xf numFmtId="0" fontId="0" fillId="13" borderId="19" xfId="0" applyFill="1" applyBorder="1" applyAlignment="1">
      <alignment horizontal="center" vertical="center" wrapText="1"/>
    </xf>
    <xf numFmtId="43" fontId="7" fillId="13" borderId="19" xfId="7" applyFont="1" applyFill="1" applyBorder="1" applyAlignment="1">
      <alignment horizontal="center" vertical="center"/>
    </xf>
    <xf numFmtId="43" fontId="0" fillId="13" borderId="19"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9" xfId="0" applyFill="1" applyBorder="1" applyAlignment="1">
      <alignment horizontal="center" vertical="center" wrapText="1"/>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20" xfId="0" applyFill="1" applyBorder="1" applyAlignment="1">
      <alignment horizontal="center" vertical="center"/>
    </xf>
    <xf numFmtId="43" fontId="24" fillId="15" borderId="19" xfId="7" applyFont="1" applyFill="1" applyBorder="1" applyAlignment="1">
      <alignment horizontal="center" vertical="center"/>
    </xf>
    <xf numFmtId="43" fontId="0" fillId="15" borderId="19" xfId="7" applyFont="1" applyFill="1" applyBorder="1" applyAlignment="1">
      <alignment horizontal="center" vertical="center"/>
    </xf>
    <xf numFmtId="43" fontId="7" fillId="16" borderId="19" xfId="7" applyFont="1" applyFill="1" applyBorder="1" applyAlignment="1">
      <alignment horizontal="center" vertical="center"/>
    </xf>
    <xf numFmtId="0" fontId="0" fillId="16" borderId="19" xfId="0" applyFill="1" applyBorder="1" applyAlignment="1">
      <alignment horizontal="center" vertical="center" wrapText="1"/>
    </xf>
    <xf numFmtId="0" fontId="0" fillId="15" borderId="19" xfId="0" applyFill="1" applyBorder="1" applyAlignment="1">
      <alignment horizontal="center" vertical="center" wrapText="1"/>
    </xf>
    <xf numFmtId="44" fontId="0" fillId="3" borderId="19" xfId="12" applyFont="1" applyFill="1" applyBorder="1" applyAlignment="1">
      <alignment horizontal="center" vertical="center"/>
    </xf>
    <xf numFmtId="44" fontId="15" fillId="11" borderId="19"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15" fillId="7" borderId="19" xfId="12" applyFont="1" applyFill="1" applyBorder="1" applyAlignment="1">
      <alignment horizontal="center" vertical="center" wrapText="1"/>
    </xf>
    <xf numFmtId="44" fontId="15" fillId="17" borderId="19" xfId="12" applyFont="1" applyFill="1" applyBorder="1" applyAlignment="1">
      <alignment horizontal="center" vertical="center" wrapText="1"/>
    </xf>
    <xf numFmtId="44" fontId="15" fillId="14" borderId="19" xfId="12" applyFont="1" applyFill="1" applyBorder="1" applyAlignment="1">
      <alignment horizontal="center" vertical="center" wrapText="1"/>
    </xf>
    <xf numFmtId="44" fontId="15" fillId="12" borderId="19" xfId="12" applyFont="1" applyFill="1" applyBorder="1" applyAlignment="1">
      <alignment horizontal="center" vertical="center" wrapText="1"/>
    </xf>
    <xf numFmtId="44" fontId="15" fillId="13" borderId="19" xfId="12" applyFont="1" applyFill="1" applyBorder="1" applyAlignment="1">
      <alignment horizontal="center" vertical="center" wrapText="1"/>
    </xf>
    <xf numFmtId="44" fontId="15" fillId="15" borderId="19" xfId="12" applyFont="1" applyFill="1" applyBorder="1" applyAlignment="1">
      <alignment horizontal="center" vertical="center" wrapText="1"/>
    </xf>
    <xf numFmtId="44" fontId="15" fillId="16" borderId="19" xfId="12" applyFont="1" applyFill="1" applyBorder="1" applyAlignment="1">
      <alignment horizontal="center" vertical="center" wrapText="1"/>
    </xf>
    <xf numFmtId="10" fontId="0" fillId="3" borderId="19" xfId="13" applyNumberFormat="1" applyFont="1" applyFill="1" applyBorder="1" applyAlignment="1">
      <alignment horizontal="center" vertical="center"/>
    </xf>
    <xf numFmtId="10" fontId="15" fillId="16" borderId="19" xfId="13" applyNumberFormat="1" applyFont="1" applyFill="1" applyBorder="1" applyAlignment="1">
      <alignment horizontal="center" vertical="center" wrapText="1"/>
    </xf>
    <xf numFmtId="9" fontId="0" fillId="3" borderId="1" xfId="0" applyNumberFormat="1" applyFill="1" applyBorder="1" applyAlignment="1">
      <alignment horizontal="center" vertical="center"/>
    </xf>
    <xf numFmtId="166" fontId="0" fillId="3" borderId="1" xfId="13" applyNumberFormat="1" applyFont="1" applyFill="1" applyBorder="1" applyAlignment="1">
      <alignment horizontal="center" vertical="center"/>
    </xf>
    <xf numFmtId="10" fontId="0" fillId="3" borderId="1" xfId="13" applyNumberFormat="1" applyFont="1" applyFill="1" applyBorder="1" applyAlignment="1">
      <alignment horizontal="center" vertical="center"/>
    </xf>
    <xf numFmtId="10" fontId="36" fillId="3" borderId="1" xfId="13" applyNumberFormat="1" applyFont="1" applyFill="1" applyBorder="1" applyAlignment="1">
      <alignment horizontal="center" vertical="center"/>
    </xf>
    <xf numFmtId="0" fontId="34" fillId="3" borderId="1" xfId="0" applyFont="1" applyFill="1" applyBorder="1" applyAlignment="1">
      <alignment horizontal="center" vertical="center" wrapText="1"/>
    </xf>
    <xf numFmtId="9" fontId="0" fillId="10" borderId="1" xfId="0" applyNumberFormat="1" applyFill="1" applyBorder="1" applyAlignment="1">
      <alignment horizontal="center" vertical="center" wrapText="1"/>
    </xf>
    <xf numFmtId="167" fontId="0" fillId="10" borderId="1" xfId="13" applyNumberFormat="1" applyFont="1" applyFill="1" applyBorder="1" applyAlignment="1">
      <alignment horizontal="center" vertical="center" wrapText="1"/>
    </xf>
    <xf numFmtId="9" fontId="35" fillId="10" borderId="1" xfId="0" applyNumberFormat="1" applyFont="1" applyFill="1" applyBorder="1" applyAlignment="1">
      <alignment horizontal="center" vertical="center"/>
    </xf>
    <xf numFmtId="10" fontId="0" fillId="10" borderId="19" xfId="13" applyNumberFormat="1" applyFont="1" applyFill="1" applyBorder="1" applyAlignment="1">
      <alignment horizontal="center" vertical="center" wrapText="1"/>
    </xf>
    <xf numFmtId="9" fontId="0" fillId="10" borderId="19" xfId="12" applyNumberFormat="1" applyFont="1" applyFill="1" applyBorder="1" applyAlignment="1">
      <alignment horizontal="center" vertical="center" wrapText="1"/>
    </xf>
    <xf numFmtId="9" fontId="0" fillId="7" borderId="1" xfId="13" applyFont="1" applyFill="1" applyBorder="1" applyAlignment="1">
      <alignment horizontal="center" vertical="center"/>
    </xf>
    <xf numFmtId="10" fontId="0" fillId="7" borderId="1" xfId="13" applyNumberFormat="1" applyFont="1" applyFill="1" applyBorder="1" applyAlignment="1">
      <alignment horizontal="center" vertical="center"/>
    </xf>
    <xf numFmtId="9" fontId="0" fillId="7" borderId="1" xfId="0" applyNumberFormat="1" applyFill="1" applyBorder="1" applyAlignment="1">
      <alignment horizontal="center" vertical="center"/>
    </xf>
    <xf numFmtId="10" fontId="15" fillId="7" borderId="19" xfId="13" applyNumberFormat="1" applyFont="1" applyFill="1" applyBorder="1" applyAlignment="1">
      <alignment horizontal="center" vertical="center" wrapText="1"/>
    </xf>
    <xf numFmtId="9" fontId="15" fillId="7" borderId="19" xfId="12" applyNumberFormat="1" applyFont="1" applyFill="1" applyBorder="1" applyAlignment="1">
      <alignment horizontal="center" vertical="center" wrapText="1"/>
    </xf>
    <xf numFmtId="10" fontId="0" fillId="11" borderId="1" xfId="13" applyNumberFormat="1" applyFont="1" applyFill="1" applyBorder="1" applyAlignment="1">
      <alignment horizontal="center" vertical="center"/>
    </xf>
    <xf numFmtId="10" fontId="0" fillId="11" borderId="1" xfId="0" applyNumberFormat="1" applyFill="1" applyBorder="1" applyAlignment="1">
      <alignment horizontal="center" vertical="center"/>
    </xf>
    <xf numFmtId="10" fontId="15" fillId="11" borderId="19" xfId="13" applyNumberFormat="1" applyFont="1" applyFill="1" applyBorder="1" applyAlignment="1">
      <alignment horizontal="center" vertical="center" wrapText="1"/>
    </xf>
    <xf numFmtId="9" fontId="15" fillId="11" borderId="19" xfId="12" applyNumberFormat="1" applyFont="1" applyFill="1" applyBorder="1" applyAlignment="1">
      <alignment horizontal="center" vertical="center" wrapText="1"/>
    </xf>
    <xf numFmtId="9" fontId="0" fillId="12" borderId="1" xfId="0" applyNumberFormat="1" applyFill="1" applyBorder="1" applyAlignment="1">
      <alignment horizontal="center" vertical="center"/>
    </xf>
    <xf numFmtId="10" fontId="0" fillId="12" borderId="1" xfId="13" applyNumberFormat="1" applyFont="1" applyFill="1" applyBorder="1" applyAlignment="1">
      <alignment horizontal="center" vertical="center"/>
    </xf>
    <xf numFmtId="10" fontId="0" fillId="12" borderId="1" xfId="0" applyNumberFormat="1" applyFill="1" applyBorder="1" applyAlignment="1">
      <alignment horizontal="center" vertical="center"/>
    </xf>
    <xf numFmtId="10" fontId="15" fillId="12" borderId="19" xfId="13" applyNumberFormat="1" applyFont="1" applyFill="1" applyBorder="1" applyAlignment="1">
      <alignment horizontal="center" vertical="center" wrapText="1"/>
    </xf>
    <xf numFmtId="9" fontId="15" fillId="12" borderId="19" xfId="12" applyNumberFormat="1" applyFont="1" applyFill="1" applyBorder="1" applyAlignment="1">
      <alignment horizontal="center" vertical="center" wrapText="1"/>
    </xf>
    <xf numFmtId="10" fontId="15" fillId="13" borderId="19" xfId="13" applyNumberFormat="1" applyFont="1" applyFill="1" applyBorder="1" applyAlignment="1">
      <alignment horizontal="center" vertical="center" wrapText="1"/>
    </xf>
    <xf numFmtId="9" fontId="15" fillId="13" borderId="19" xfId="12" applyNumberFormat="1" applyFont="1" applyFill="1" applyBorder="1" applyAlignment="1">
      <alignment horizontal="center" vertical="center" wrapText="1"/>
    </xf>
    <xf numFmtId="10" fontId="15" fillId="14" borderId="19" xfId="13" applyNumberFormat="1" applyFont="1" applyFill="1" applyBorder="1" applyAlignment="1">
      <alignment horizontal="center" vertical="center" wrapText="1"/>
    </xf>
    <xf numFmtId="9" fontId="15" fillId="14" borderId="19" xfId="12" applyNumberFormat="1" applyFont="1" applyFill="1" applyBorder="1" applyAlignment="1">
      <alignment horizontal="center" vertical="center" wrapText="1"/>
    </xf>
    <xf numFmtId="10" fontId="15" fillId="15" borderId="19" xfId="13" applyNumberFormat="1" applyFont="1" applyFill="1" applyBorder="1" applyAlignment="1">
      <alignment horizontal="center" vertical="center" wrapText="1"/>
    </xf>
    <xf numFmtId="9" fontId="15" fillId="15" borderId="19" xfId="12" applyNumberFormat="1" applyFont="1" applyFill="1" applyBorder="1" applyAlignment="1">
      <alignment horizontal="center" vertical="center" wrapText="1"/>
    </xf>
    <xf numFmtId="9" fontId="0" fillId="17" borderId="1" xfId="0" applyNumberFormat="1" applyFill="1" applyBorder="1" applyAlignment="1">
      <alignment horizontal="center" vertical="center"/>
    </xf>
    <xf numFmtId="9" fontId="15" fillId="17" borderId="19" xfId="13" applyFont="1" applyFill="1" applyBorder="1" applyAlignment="1">
      <alignment horizontal="center" vertical="center" wrapText="1"/>
    </xf>
    <xf numFmtId="9" fontId="15" fillId="17" borderId="19" xfId="12" applyNumberFormat="1" applyFont="1" applyFill="1" applyBorder="1" applyAlignment="1">
      <alignment horizontal="center" vertical="center" wrapText="1"/>
    </xf>
    <xf numFmtId="9" fontId="0" fillId="0" borderId="1" xfId="0" applyNumberFormat="1" applyBorder="1" applyAlignment="1">
      <alignment horizontal="center" vertical="center"/>
    </xf>
    <xf numFmtId="44" fontId="0" fillId="0" borderId="1" xfId="0" applyNumberFormat="1" applyBorder="1" applyAlignment="1">
      <alignment horizontal="center" vertical="center"/>
    </xf>
    <xf numFmtId="9" fontId="0" fillId="2" borderId="1" xfId="0" applyNumberFormat="1" applyFill="1" applyBorder="1" applyAlignment="1">
      <alignment horizontal="center" vertical="center"/>
    </xf>
    <xf numFmtId="10" fontId="0" fillId="0" borderId="1" xfId="0" applyNumberFormat="1" applyBorder="1" applyAlignment="1">
      <alignment horizontal="center" vertical="center"/>
    </xf>
    <xf numFmtId="9" fontId="0" fillId="0" borderId="1" xfId="13" applyFont="1" applyBorder="1" applyAlignment="1">
      <alignment horizontal="center" vertical="center"/>
    </xf>
    <xf numFmtId="10" fontId="0" fillId="2" borderId="1" xfId="13" applyNumberFormat="1" applyFont="1" applyFill="1" applyBorder="1" applyAlignment="1">
      <alignment horizontal="center" vertical="center"/>
    </xf>
    <xf numFmtId="167" fontId="0" fillId="2" borderId="1" xfId="13" applyNumberFormat="1" applyFont="1" applyFill="1" applyBorder="1" applyAlignment="1">
      <alignment horizontal="center" vertical="center"/>
    </xf>
    <xf numFmtId="0" fontId="0" fillId="22" borderId="1" xfId="0" applyFill="1" applyBorder="1" applyAlignment="1">
      <alignment horizontal="center" vertical="center" wrapText="1"/>
    </xf>
    <xf numFmtId="0" fontId="24" fillId="22" borderId="1" xfId="0" applyFont="1" applyFill="1" applyBorder="1" applyAlignment="1">
      <alignment horizontal="center" vertical="center" wrapText="1"/>
    </xf>
    <xf numFmtId="0" fontId="0" fillId="22" borderId="1" xfId="0" applyFill="1" applyBorder="1" applyAlignment="1">
      <alignment horizontal="center" vertical="center"/>
    </xf>
    <xf numFmtId="0" fontId="7" fillId="10" borderId="1" xfId="7" applyNumberFormat="1" applyFont="1" applyFill="1" applyBorder="1" applyAlignment="1">
      <alignment horizontal="center" vertical="center" wrapText="1"/>
    </xf>
    <xf numFmtId="0" fontId="7" fillId="7" borderId="1" xfId="7" applyNumberFormat="1" applyFont="1" applyFill="1" applyBorder="1" applyAlignment="1">
      <alignment horizontal="center" vertical="center" wrapText="1"/>
    </xf>
    <xf numFmtId="0" fontId="13" fillId="16" borderId="1" xfId="0" applyFont="1" applyFill="1" applyBorder="1" applyAlignment="1">
      <alignment horizontal="center" vertical="center"/>
    </xf>
    <xf numFmtId="0" fontId="13" fillId="17" borderId="1" xfId="0" applyFont="1" applyFill="1" applyBorder="1" applyAlignment="1">
      <alignment horizontal="center" vertical="center"/>
    </xf>
    <xf numFmtId="0" fontId="11" fillId="6" borderId="1" xfId="4" applyBorder="1" applyAlignment="1" applyProtection="1">
      <alignment vertical="center"/>
    </xf>
    <xf numFmtId="0" fontId="11" fillId="6" borderId="1" xfId="4" applyBorder="1" applyProtection="1">
      <alignment horizontal="center" vertical="center"/>
    </xf>
    <xf numFmtId="49" fontId="12" fillId="0" borderId="1" xfId="5" applyBorder="1" applyAlignment="1" applyProtection="1">
      <alignment vertical="center" wrapText="1"/>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6" fillId="0" borderId="1" xfId="0" applyFont="1" applyBorder="1" applyAlignment="1">
      <alignment horizontal="center" vertical="center" wrapText="1"/>
    </xf>
    <xf numFmtId="0" fontId="39" fillId="0" borderId="0" xfId="0" applyFont="1"/>
    <xf numFmtId="0" fontId="39" fillId="0" borderId="18" xfId="0" applyFont="1" applyBorder="1" applyAlignment="1">
      <alignment horizontal="center" vertical="center"/>
    </xf>
    <xf numFmtId="0" fontId="39" fillId="0" borderId="18" xfId="0" applyFont="1" applyBorder="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xf>
    <xf numFmtId="0" fontId="39" fillId="0" borderId="1" xfId="0" applyFont="1" applyBorder="1" applyAlignment="1">
      <alignment horizontal="center" vertical="center"/>
    </xf>
    <xf numFmtId="0" fontId="39" fillId="0" borderId="4" xfId="0" applyFont="1" applyBorder="1" applyAlignment="1">
      <alignment horizontal="center" vertical="center" wrapText="1"/>
    </xf>
    <xf numFmtId="9" fontId="39" fillId="0" borderId="1" xfId="0" applyNumberFormat="1" applyFont="1" applyBorder="1" applyAlignment="1">
      <alignment horizontal="center" vertical="center" wrapText="1"/>
    </xf>
    <xf numFmtId="0" fontId="39" fillId="0" borderId="19" xfId="0" applyFont="1" applyBorder="1" applyAlignment="1">
      <alignment horizontal="center" vertical="center"/>
    </xf>
    <xf numFmtId="0" fontId="39" fillId="0" borderId="19" xfId="0" applyFont="1" applyBorder="1" applyAlignment="1">
      <alignment horizontal="center" vertical="center" wrapText="1"/>
    </xf>
    <xf numFmtId="0" fontId="39" fillId="0" borderId="1" xfId="0" applyFont="1" applyBorder="1"/>
    <xf numFmtId="0" fontId="39" fillId="0" borderId="16" xfId="0" applyFont="1" applyBorder="1" applyAlignment="1">
      <alignment horizontal="center" vertical="center"/>
    </xf>
    <xf numFmtId="3" fontId="39" fillId="0" borderId="1" xfId="0" applyNumberFormat="1" applyFont="1" applyBorder="1" applyAlignment="1">
      <alignment horizontal="center" vertical="center" wrapText="1"/>
    </xf>
    <xf numFmtId="0" fontId="39" fillId="0" borderId="12" xfId="0" applyFont="1" applyBorder="1" applyAlignment="1">
      <alignment horizontal="center" vertical="center" wrapText="1"/>
    </xf>
    <xf numFmtId="49" fontId="39" fillId="0" borderId="18" xfId="0" applyNumberFormat="1" applyFont="1" applyBorder="1" applyAlignment="1">
      <alignment horizontal="center" vertical="center"/>
    </xf>
    <xf numFmtId="9" fontId="39" fillId="0" borderId="18" xfId="0" applyNumberFormat="1" applyFont="1" applyBorder="1" applyAlignment="1">
      <alignment horizontal="center" vertical="center" wrapText="1"/>
    </xf>
    <xf numFmtId="0" fontId="39" fillId="0" borderId="11"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20" xfId="0" applyFont="1" applyBorder="1" applyAlignment="1">
      <alignment horizontal="center" vertical="center"/>
    </xf>
    <xf numFmtId="1" fontId="39" fillId="0" borderId="18" xfId="0" applyNumberFormat="1" applyFont="1" applyBorder="1" applyAlignment="1">
      <alignment horizontal="center" vertical="center"/>
    </xf>
    <xf numFmtId="3" fontId="39" fillId="0" borderId="18"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35" fillId="0" borderId="4" xfId="0" applyFont="1" applyBorder="1" applyAlignment="1">
      <alignment horizontal="center" vertical="center"/>
    </xf>
    <xf numFmtId="0" fontId="5" fillId="0" borderId="5" xfId="0" applyFont="1" applyBorder="1" applyAlignment="1">
      <alignment horizontal="center" vertical="center"/>
    </xf>
    <xf numFmtId="0" fontId="17" fillId="0" borderId="1" xfId="0" applyFont="1" applyBorder="1" applyAlignment="1">
      <alignment horizontal="center" vertical="center" wrapText="1"/>
    </xf>
    <xf numFmtId="0" fontId="31"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7" fillId="0" borderId="1" xfId="7" applyNumberFormat="1" applyFont="1" applyFill="1" applyBorder="1" applyAlignment="1">
      <alignment horizontal="center" vertical="center"/>
    </xf>
    <xf numFmtId="10" fontId="1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24" fillId="0" borderId="1" xfId="0" applyFont="1" applyBorder="1" applyAlignment="1">
      <alignment horizontal="center" vertical="center"/>
    </xf>
    <xf numFmtId="14" fontId="0" fillId="0" borderId="1" xfId="0" applyNumberFormat="1" applyBorder="1" applyAlignment="1">
      <alignment horizontal="center" vertical="center"/>
    </xf>
    <xf numFmtId="164" fontId="0" fillId="0" borderId="1" xfId="7" applyNumberFormat="1" applyFont="1" applyFill="1" applyBorder="1" applyAlignment="1">
      <alignment horizontal="center" vertical="center"/>
    </xf>
    <xf numFmtId="0" fontId="7" fillId="0" borderId="1" xfId="0" applyFont="1" applyBorder="1" applyAlignment="1">
      <alignment horizontal="center" vertical="center"/>
    </xf>
    <xf numFmtId="43" fontId="0" fillId="0" borderId="1" xfId="7" applyFont="1" applyFill="1" applyBorder="1" applyAlignment="1">
      <alignment horizontal="center" vertical="center" wrapText="1"/>
    </xf>
    <xf numFmtId="0" fontId="37" fillId="0" borderId="1" xfId="14"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horizontal="center" vertical="center" wrapText="1"/>
    </xf>
    <xf numFmtId="10" fontId="0" fillId="0" borderId="1" xfId="13" applyNumberFormat="1" applyFont="1" applyFill="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10" fontId="7" fillId="0" borderId="1" xfId="13" applyNumberFormat="1" applyFont="1" applyFill="1" applyBorder="1" applyAlignment="1">
      <alignment horizontal="center" vertical="center" wrapText="1"/>
    </xf>
    <xf numFmtId="0" fontId="7" fillId="0" borderId="1" xfId="7" applyNumberFormat="1" applyFont="1" applyFill="1" applyBorder="1" applyAlignment="1">
      <alignment horizontal="center" vertical="center" wrapText="1"/>
    </xf>
    <xf numFmtId="0" fontId="7" fillId="0" borderId="1" xfId="0" applyFont="1" applyBorder="1" applyAlignment="1">
      <alignment vertical="center" wrapText="1"/>
    </xf>
    <xf numFmtId="43" fontId="1" fillId="0" borderId="1" xfId="7" applyFont="1" applyFill="1" applyBorder="1" applyAlignment="1">
      <alignment horizontal="center" vertical="center" wrapText="1"/>
    </xf>
    <xf numFmtId="0" fontId="0" fillId="0" borderId="20" xfId="0" applyBorder="1" applyAlignment="1">
      <alignment horizontal="center" vertical="center"/>
    </xf>
    <xf numFmtId="0" fontId="32" fillId="0" borderId="4" xfId="0" applyFont="1" applyBorder="1" applyAlignment="1">
      <alignment horizontal="center" vertical="center" wrapText="1"/>
    </xf>
    <xf numFmtId="10" fontId="36" fillId="0" borderId="1" xfId="13" applyNumberFormat="1" applyFont="1" applyFill="1" applyBorder="1" applyAlignment="1">
      <alignment horizontal="center" vertical="center"/>
    </xf>
    <xf numFmtId="44" fontId="7" fillId="0" borderId="19" xfId="12" applyFont="1" applyFill="1" applyBorder="1" applyAlignment="1">
      <alignment horizontal="center" vertical="center"/>
    </xf>
    <xf numFmtId="43" fontId="7" fillId="0" borderId="1" xfId="7" applyFont="1" applyFill="1" applyBorder="1" applyAlignment="1">
      <alignment vertical="center"/>
    </xf>
    <xf numFmtId="9" fontId="7" fillId="0" borderId="1" xfId="7" applyNumberFormat="1" applyFont="1" applyFill="1" applyBorder="1" applyAlignment="1">
      <alignment vertical="center"/>
    </xf>
    <xf numFmtId="168"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44"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44" fontId="0" fillId="0" borderId="19" xfId="12" applyFont="1" applyFill="1" applyBorder="1" applyAlignment="1">
      <alignment horizontal="center" vertical="center"/>
    </xf>
    <xf numFmtId="0" fontId="34" fillId="0" borderId="1" xfId="0" applyFont="1" applyBorder="1" applyAlignment="1">
      <alignment horizontal="center" vertical="center" wrapText="1"/>
    </xf>
    <xf numFmtId="43" fontId="7" fillId="0" borderId="1" xfId="7" applyFont="1" applyFill="1" applyBorder="1" applyAlignment="1">
      <alignment horizontal="center" vertical="center" wrapText="1"/>
    </xf>
    <xf numFmtId="10" fontId="0" fillId="0" borderId="1" xfId="13" applyNumberFormat="1" applyFont="1" applyFill="1" applyBorder="1" applyAlignment="1">
      <alignment horizontal="center" vertical="center" wrapText="1"/>
    </xf>
    <xf numFmtId="43" fontId="0" fillId="0" borderId="1" xfId="0" applyNumberFormat="1" applyBorder="1" applyAlignment="1">
      <alignment horizontal="center" vertical="center"/>
    </xf>
    <xf numFmtId="9" fontId="35" fillId="0" borderId="1" xfId="0" applyNumberFormat="1" applyFont="1" applyBorder="1" applyAlignment="1">
      <alignment horizontal="center" vertical="center"/>
    </xf>
    <xf numFmtId="9" fontId="7" fillId="0" borderId="1" xfId="13" applyFont="1" applyFill="1" applyBorder="1" applyAlignment="1">
      <alignment vertical="center"/>
    </xf>
    <xf numFmtId="44" fontId="0" fillId="0" borderId="1" xfId="12" applyFont="1" applyFill="1" applyBorder="1" applyAlignment="1">
      <alignment horizontal="center" vertical="center" wrapText="1"/>
    </xf>
    <xf numFmtId="1" fontId="7" fillId="0" borderId="1" xfId="0" applyNumberFormat="1" applyFont="1" applyBorder="1" applyAlignment="1">
      <alignment vertical="center"/>
    </xf>
    <xf numFmtId="44" fontId="24" fillId="0" borderId="1" xfId="12" applyFont="1" applyFill="1" applyBorder="1" applyAlignment="1">
      <alignment horizontal="center" vertical="center"/>
    </xf>
    <xf numFmtId="43" fontId="0" fillId="0" borderId="1" xfId="0" applyNumberFormat="1" applyBorder="1" applyAlignment="1">
      <alignment horizontal="center" vertical="center" wrapText="1"/>
    </xf>
    <xf numFmtId="9" fontId="0" fillId="0" borderId="1" xfId="13" applyFont="1" applyFill="1" applyBorder="1" applyAlignment="1">
      <alignment horizontal="center" vertical="center" wrapText="1"/>
    </xf>
    <xf numFmtId="1" fontId="7" fillId="0" borderId="1" xfId="0" applyNumberFormat="1" applyFont="1" applyBorder="1" applyAlignment="1">
      <alignment horizontal="center" vertical="center" wrapText="1"/>
    </xf>
    <xf numFmtId="10" fontId="15"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44" fontId="24" fillId="0" borderId="19" xfId="12" applyFont="1" applyFill="1" applyBorder="1" applyAlignment="1">
      <alignment horizontal="center" vertical="center"/>
    </xf>
    <xf numFmtId="44" fontId="0" fillId="0" borderId="1" xfId="12" applyFont="1" applyFill="1" applyBorder="1" applyAlignment="1">
      <alignment horizontal="center" vertical="center"/>
    </xf>
    <xf numFmtId="44" fontId="7" fillId="0" borderId="1" xfId="12" applyFont="1" applyFill="1" applyBorder="1" applyAlignment="1">
      <alignment horizontal="center" vertical="center"/>
    </xf>
    <xf numFmtId="1" fontId="7" fillId="0" borderId="1" xfId="7" applyNumberFormat="1" applyFont="1" applyFill="1" applyBorder="1" applyAlignment="1">
      <alignment horizontal="center" vertical="center"/>
    </xf>
    <xf numFmtId="0" fontId="7" fillId="0" borderId="0" xfId="0" applyFont="1" applyAlignment="1">
      <alignment horizontal="center" vertical="center" wrapTex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43" fontId="25" fillId="0" borderId="1" xfId="7" applyFont="1" applyFill="1" applyBorder="1" applyAlignment="1">
      <alignment horizontal="center" vertical="center" wrapText="1"/>
    </xf>
    <xf numFmtId="0" fontId="23" fillId="0" borderId="1" xfId="0" applyFont="1" applyBorder="1" applyAlignment="1">
      <alignment horizontal="center" vertical="center" wrapText="1"/>
    </xf>
    <xf numFmtId="0" fontId="5" fillId="0" borderId="18" xfId="0" applyFont="1" applyBorder="1" applyAlignment="1">
      <alignment horizontal="center" vertical="center" wrapText="1"/>
    </xf>
    <xf numFmtId="0" fontId="32" fillId="0" borderId="1" xfId="0" applyFont="1" applyBorder="1" applyAlignment="1">
      <alignment horizontal="center" vertical="center" wrapText="1"/>
    </xf>
    <xf numFmtId="0" fontId="29" fillId="0" borderId="1" xfId="0" applyFont="1" applyBorder="1" applyAlignment="1">
      <alignment horizontal="center" vertical="center"/>
    </xf>
    <xf numFmtId="0" fontId="38" fillId="0" borderId="1" xfId="0" applyFont="1" applyBorder="1" applyAlignment="1">
      <alignment horizontal="center" vertical="center"/>
    </xf>
    <xf numFmtId="0" fontId="31" fillId="7"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9" fillId="23" borderId="1" xfId="0" applyFont="1" applyFill="1" applyBorder="1" applyAlignment="1">
      <alignment horizontal="center" vertical="center" wrapText="1"/>
    </xf>
    <xf numFmtId="44" fontId="7" fillId="0" borderId="1" xfId="12" applyFont="1" applyFill="1" applyBorder="1" applyAlignment="1">
      <alignment vertical="center"/>
    </xf>
    <xf numFmtId="44" fontId="0" fillId="0" borderId="1" xfId="12" applyFont="1" applyBorder="1" applyAlignment="1">
      <alignment horizontal="center" vertical="center" wrapText="1"/>
    </xf>
    <xf numFmtId="0" fontId="26" fillId="0" borderId="21" xfId="0" applyFont="1" applyBorder="1" applyAlignment="1">
      <alignment horizontal="justify" vertical="center" wrapText="1"/>
    </xf>
    <xf numFmtId="0" fontId="26" fillId="0" borderId="23" xfId="0" applyFont="1" applyBorder="1" applyAlignment="1">
      <alignment horizontal="justify" vertical="center" wrapText="1"/>
    </xf>
    <xf numFmtId="10" fontId="26" fillId="0" borderId="22" xfId="0" applyNumberFormat="1" applyFont="1" applyBorder="1" applyAlignment="1">
      <alignment horizontal="justify" vertical="center" wrapText="1"/>
    </xf>
    <xf numFmtId="10" fontId="26" fillId="0" borderId="24" xfId="0" applyNumberFormat="1" applyFont="1" applyBorder="1" applyAlignment="1">
      <alignment horizontal="justify" vertical="center" wrapText="1"/>
    </xf>
    <xf numFmtId="0" fontId="41" fillId="2" borderId="1" xfId="0" applyFont="1" applyFill="1" applyBorder="1" applyAlignment="1">
      <alignment horizontal="center" vertical="center" wrapText="1"/>
    </xf>
    <xf numFmtId="166" fontId="41" fillId="2" borderId="1" xfId="0" applyNumberFormat="1" applyFont="1" applyFill="1" applyBorder="1" applyAlignment="1">
      <alignment horizontal="center" vertical="center"/>
    </xf>
    <xf numFmtId="0" fontId="13" fillId="24" borderId="1" xfId="0" applyFont="1" applyFill="1" applyBorder="1" applyAlignment="1">
      <alignment horizontal="center" vertical="center" wrapText="1"/>
    </xf>
    <xf numFmtId="0" fontId="41" fillId="0" borderId="1" xfId="0" applyFont="1" applyBorder="1" applyAlignment="1">
      <alignment horizontal="center" vertical="center" wrapText="1"/>
    </xf>
    <xf numFmtId="166" fontId="41" fillId="0" borderId="1" xfId="0" applyNumberFormat="1" applyFont="1" applyBorder="1" applyAlignment="1">
      <alignment horizontal="center" vertical="center"/>
    </xf>
    <xf numFmtId="0" fontId="13" fillId="25" borderId="1" xfId="0" applyFont="1" applyFill="1" applyBorder="1" applyAlignment="1">
      <alignment horizontal="left" vertical="center" wrapText="1"/>
    </xf>
    <xf numFmtId="0" fontId="13" fillId="0" borderId="1" xfId="0" applyFont="1" applyBorder="1"/>
    <xf numFmtId="44" fontId="1" fillId="0" borderId="2" xfId="12" applyFont="1" applyFill="1" applyBorder="1" applyAlignment="1">
      <alignment horizontal="left" wrapText="1"/>
    </xf>
    <xf numFmtId="0" fontId="0" fillId="0" borderId="1" xfId="0" applyBorder="1"/>
    <xf numFmtId="0" fontId="13" fillId="0" borderId="1" xfId="0" applyFont="1" applyBorder="1" applyAlignment="1">
      <alignment wrapText="1"/>
    </xf>
    <xf numFmtId="10" fontId="1" fillId="0" borderId="1" xfId="13" applyNumberFormat="1" applyFont="1" applyBorder="1" applyAlignment="1">
      <alignment horizontal="center" vertical="center"/>
    </xf>
    <xf numFmtId="0" fontId="43" fillId="0" borderId="23" xfId="0" applyFont="1" applyBorder="1" applyAlignment="1">
      <alignment horizontal="center" vertical="center" wrapText="1"/>
    </xf>
    <xf numFmtId="10" fontId="43" fillId="0" borderId="24" xfId="0" applyNumberFormat="1" applyFont="1" applyBorder="1" applyAlignment="1">
      <alignment horizontal="center" vertical="center"/>
    </xf>
    <xf numFmtId="166" fontId="0" fillId="0" borderId="1" xfId="0" applyNumberFormat="1" applyBorder="1" applyAlignment="1">
      <alignment horizontal="center" vertical="center"/>
    </xf>
    <xf numFmtId="10" fontId="26" fillId="0" borderId="22" xfId="0" applyNumberFormat="1" applyFont="1" applyBorder="1" applyAlignment="1">
      <alignment horizontal="center" vertical="center" wrapText="1"/>
    </xf>
    <xf numFmtId="10" fontId="26" fillId="0" borderId="24" xfId="0" applyNumberFormat="1" applyFont="1" applyBorder="1" applyAlignment="1">
      <alignment horizontal="center" vertical="center" wrapText="1"/>
    </xf>
    <xf numFmtId="0" fontId="42" fillId="11" borderId="21" xfId="0" applyFont="1" applyFill="1" applyBorder="1" applyAlignment="1">
      <alignment horizontal="center" vertical="center"/>
    </xf>
    <xf numFmtId="0" fontId="42" fillId="11" borderId="22" xfId="0" applyFont="1" applyFill="1" applyBorder="1" applyAlignment="1">
      <alignment horizontal="center" vertical="center"/>
    </xf>
    <xf numFmtId="0" fontId="44" fillId="16" borderId="1" xfId="0" applyFont="1" applyFill="1" applyBorder="1"/>
    <xf numFmtId="0" fontId="0" fillId="26" borderId="1" xfId="0" applyFill="1" applyBorder="1" applyAlignment="1">
      <alignment horizontal="center" vertical="center" wrapText="1"/>
    </xf>
    <xf numFmtId="10" fontId="0" fillId="26" borderId="1" xfId="13" applyNumberFormat="1" applyFont="1" applyFill="1" applyBorder="1" applyAlignment="1">
      <alignment horizontal="center" vertical="center"/>
    </xf>
    <xf numFmtId="9" fontId="0" fillId="26" borderId="1" xfId="13" applyFont="1" applyFill="1" applyBorder="1" applyAlignment="1">
      <alignment horizontal="center" vertical="center"/>
    </xf>
    <xf numFmtId="0" fontId="44" fillId="16" borderId="1" xfId="0" applyFont="1" applyFill="1" applyBorder="1" applyAlignment="1">
      <alignment horizontal="center" vertical="center"/>
    </xf>
    <xf numFmtId="0" fontId="0" fillId="0" borderId="20" xfId="0" applyBorder="1" applyAlignment="1">
      <alignment horizontal="center" vertical="center" wrapText="1"/>
    </xf>
    <xf numFmtId="0" fontId="0" fillId="2" borderId="1" xfId="0" applyFill="1" applyBorder="1" applyAlignment="1">
      <alignment horizontal="center" vertical="center"/>
    </xf>
    <xf numFmtId="0" fontId="0" fillId="0" borderId="19" xfId="0" applyBorder="1" applyAlignment="1">
      <alignment vertical="center" wrapText="1"/>
    </xf>
    <xf numFmtId="0" fontId="0" fillId="0" borderId="20" xfId="0" applyBorder="1" applyAlignment="1">
      <alignment vertical="center" wrapText="1"/>
    </xf>
    <xf numFmtId="169" fontId="0" fillId="0" borderId="0" xfId="0" applyNumberFormat="1" applyAlignment="1">
      <alignment wrapText="1"/>
    </xf>
    <xf numFmtId="0" fontId="0" fillId="0" borderId="0" xfId="0" applyAlignment="1">
      <alignment horizontal="left" wrapText="1"/>
    </xf>
    <xf numFmtId="169" fontId="0" fillId="0" borderId="1" xfId="0" applyNumberFormat="1" applyBorder="1" applyAlignment="1">
      <alignment wrapText="1"/>
    </xf>
    <xf numFmtId="10" fontId="0" fillId="0" borderId="1" xfId="13" applyNumberFormat="1" applyFont="1" applyBorder="1" applyAlignment="1">
      <alignment horizontal="center" vertical="center" wrapText="1"/>
    </xf>
    <xf numFmtId="0" fontId="0" fillId="27" borderId="1" xfId="0" applyFill="1" applyBorder="1" applyAlignment="1">
      <alignment horizontal="center" vertical="center"/>
    </xf>
    <xf numFmtId="0" fontId="24" fillId="0" borderId="20" xfId="0" applyFont="1" applyBorder="1" applyAlignment="1">
      <alignment horizontal="center" vertical="center" wrapText="1"/>
    </xf>
    <xf numFmtId="0" fontId="24" fillId="0" borderId="20" xfId="0" applyFont="1" applyBorder="1" applyAlignment="1">
      <alignment horizontal="center" vertical="center"/>
    </xf>
    <xf numFmtId="0" fontId="5" fillId="0" borderId="0" xfId="0" applyFont="1" applyAlignment="1">
      <alignment horizontal="center" vertical="center"/>
    </xf>
    <xf numFmtId="0" fontId="7" fillId="0" borderId="20" xfId="0" applyFont="1" applyBorder="1" applyAlignment="1">
      <alignment horizontal="center" vertical="center" wrapText="1"/>
    </xf>
    <xf numFmtId="49" fontId="7" fillId="0" borderId="20" xfId="0" applyNumberFormat="1" applyFont="1" applyBorder="1" applyAlignment="1">
      <alignment horizontal="center" vertical="center" wrapText="1"/>
    </xf>
    <xf numFmtId="1" fontId="7" fillId="0" borderId="20" xfId="0" applyNumberFormat="1" applyFont="1" applyBorder="1" applyAlignment="1">
      <alignment horizontal="center" vertical="center"/>
    </xf>
    <xf numFmtId="0" fontId="7" fillId="0" borderId="20" xfId="7" applyNumberFormat="1" applyFont="1" applyFill="1" applyBorder="1" applyAlignment="1">
      <alignment horizontal="center" vertical="center"/>
    </xf>
    <xf numFmtId="10" fontId="15" fillId="0" borderId="20" xfId="0" applyNumberFormat="1" applyFont="1" applyBorder="1" applyAlignment="1">
      <alignment horizontal="center" vertical="center" wrapText="1"/>
    </xf>
    <xf numFmtId="0" fontId="0" fillId="2" borderId="20" xfId="0" applyFill="1" applyBorder="1" applyAlignment="1">
      <alignment horizontal="center" vertical="center"/>
    </xf>
    <xf numFmtId="0" fontId="0" fillId="27" borderId="20" xfId="0" applyFill="1" applyBorder="1" applyAlignment="1">
      <alignment horizontal="center" vertical="center"/>
    </xf>
    <xf numFmtId="10" fontId="0" fillId="0" borderId="20" xfId="13" applyNumberFormat="1" applyFont="1" applyFill="1" applyBorder="1" applyAlignment="1">
      <alignment horizontal="center" vertical="center"/>
    </xf>
    <xf numFmtId="14" fontId="0" fillId="0" borderId="20" xfId="0" applyNumberFormat="1" applyBorder="1" applyAlignment="1">
      <alignment horizontal="center" vertical="center"/>
    </xf>
    <xf numFmtId="164" fontId="0" fillId="0" borderId="20" xfId="7" applyNumberFormat="1" applyFont="1" applyFill="1" applyBorder="1" applyAlignment="1">
      <alignment horizontal="center" vertical="center"/>
    </xf>
    <xf numFmtId="0" fontId="7" fillId="0" borderId="20" xfId="0" applyFont="1" applyBorder="1" applyAlignment="1">
      <alignment horizontal="center" vertical="center"/>
    </xf>
    <xf numFmtId="43" fontId="0" fillId="0" borderId="20" xfId="7" applyFont="1" applyFill="1" applyBorder="1" applyAlignment="1">
      <alignment horizontal="center" vertical="center" wrapText="1"/>
    </xf>
    <xf numFmtId="0" fontId="37" fillId="0" borderId="20" xfId="14" applyFill="1" applyBorder="1" applyAlignment="1">
      <alignment horizontal="center" vertical="center" wrapText="1"/>
    </xf>
    <xf numFmtId="169" fontId="0" fillId="0" borderId="20" xfId="0" applyNumberFormat="1" applyBorder="1" applyAlignment="1">
      <alignment wrapText="1"/>
    </xf>
    <xf numFmtId="0" fontId="5" fillId="27" borderId="1" xfId="0" applyFont="1" applyFill="1" applyBorder="1" applyAlignment="1">
      <alignment horizontal="center" vertical="center" wrapText="1"/>
    </xf>
    <xf numFmtId="9" fontId="5" fillId="0" borderId="1" xfId="13"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8"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7" fillId="7" borderId="20" xfId="7" applyNumberFormat="1" applyFont="1" applyFill="1" applyBorder="1" applyAlignment="1">
      <alignment horizontal="center" vertical="center"/>
    </xf>
    <xf numFmtId="0" fontId="7" fillId="23" borderId="1" xfId="7" applyNumberFormat="1" applyFont="1" applyFill="1" applyBorder="1" applyAlignment="1">
      <alignment horizontal="center" vertical="center"/>
    </xf>
    <xf numFmtId="0" fontId="24" fillId="7" borderId="1" xfId="0" applyFont="1" applyFill="1" applyBorder="1" applyAlignment="1">
      <alignment horizontal="center" vertical="center"/>
    </xf>
    <xf numFmtId="49" fontId="6" fillId="0" borderId="18" xfId="0" applyNumberFormat="1" applyFont="1" applyBorder="1" applyAlignment="1">
      <alignment horizontal="center" vertical="center" wrapText="1"/>
    </xf>
    <xf numFmtId="49" fontId="7" fillId="0" borderId="1" xfId="7" applyNumberFormat="1" applyFont="1" applyFill="1" applyBorder="1" applyAlignment="1">
      <alignment vertical="center" wrapText="1"/>
    </xf>
    <xf numFmtId="49" fontId="24" fillId="0" borderId="1" xfId="7" applyNumberFormat="1" applyFont="1" applyFill="1" applyBorder="1" applyAlignment="1">
      <alignment vertical="center" wrapText="1"/>
    </xf>
    <xf numFmtId="49" fontId="0" fillId="0" borderId="1" xfId="0" applyNumberFormat="1" applyBorder="1" applyAlignment="1">
      <alignment horizontal="center" vertical="center" wrapText="1"/>
    </xf>
    <xf numFmtId="49" fontId="7" fillId="0" borderId="18" xfId="7" applyNumberFormat="1" applyFont="1" applyFill="1" applyBorder="1" applyAlignment="1">
      <alignment vertical="center" wrapText="1"/>
    </xf>
    <xf numFmtId="49" fontId="7" fillId="0" borderId="19" xfId="7" applyNumberFormat="1" applyFont="1" applyFill="1" applyBorder="1" applyAlignment="1">
      <alignment vertical="center" wrapText="1"/>
    </xf>
    <xf numFmtId="49" fontId="7" fillId="0" borderId="20" xfId="7" applyNumberFormat="1"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left" wrapText="1"/>
    </xf>
    <xf numFmtId="169" fontId="0" fillId="0" borderId="19" xfId="0" applyNumberFormat="1" applyBorder="1" applyAlignment="1">
      <alignment horizontal="center" vertical="center"/>
    </xf>
    <xf numFmtId="169" fontId="0" fillId="0" borderId="1" xfId="0" applyNumberFormat="1" applyBorder="1" applyAlignment="1">
      <alignment horizontal="center" vertical="center" wrapText="1"/>
    </xf>
    <xf numFmtId="0" fontId="39" fillId="0" borderId="11" xfId="0" applyFont="1" applyBorder="1" applyAlignment="1">
      <alignment horizontal="center" vertical="center"/>
    </xf>
    <xf numFmtId="0" fontId="39" fillId="0" borderId="0" xfId="0" applyFont="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169" fontId="13" fillId="0" borderId="19" xfId="0" applyNumberFormat="1" applyFont="1" applyBorder="1" applyAlignment="1">
      <alignment horizontal="center" vertical="center"/>
    </xf>
    <xf numFmtId="0" fontId="13" fillId="0" borderId="1" xfId="0" applyFont="1" applyBorder="1" applyAlignment="1">
      <alignment horizontal="center" vertical="center"/>
    </xf>
    <xf numFmtId="169" fontId="0" fillId="0" borderId="1" xfId="0" applyNumberFormat="1" applyBorder="1" applyAlignment="1">
      <alignment horizontal="center" vertical="center"/>
    </xf>
    <xf numFmtId="10" fontId="0" fillId="0" borderId="1" xfId="13" applyNumberFormat="1" applyFont="1" applyBorder="1" applyAlignment="1">
      <alignment horizontal="center" vertical="center"/>
    </xf>
    <xf numFmtId="0" fontId="39" fillId="9" borderId="1" xfId="0" applyFont="1" applyFill="1" applyBorder="1" applyAlignment="1">
      <alignment horizontal="center" vertical="center" wrapText="1"/>
    </xf>
    <xf numFmtId="0" fontId="39" fillId="9" borderId="18" xfId="0" applyFont="1" applyFill="1" applyBorder="1" applyAlignment="1">
      <alignment horizontal="center" vertical="center" wrapText="1"/>
    </xf>
    <xf numFmtId="0" fontId="39" fillId="0" borderId="0" xfId="0" applyFont="1" applyAlignment="1">
      <alignment vertical="center"/>
    </xf>
    <xf numFmtId="0" fontId="39" fillId="0" borderId="0" xfId="0" applyFont="1" applyAlignment="1">
      <alignment horizontal="center"/>
    </xf>
    <xf numFmtId="0" fontId="6" fillId="0" borderId="3" xfId="0" applyFont="1" applyBorder="1" applyAlignment="1">
      <alignment horizontal="center" vertical="center" wrapText="1"/>
    </xf>
    <xf numFmtId="9" fontId="39" fillId="0" borderId="1" xfId="13" applyFont="1" applyFill="1" applyBorder="1" applyAlignment="1">
      <alignment horizontal="center" vertical="center" wrapText="1"/>
    </xf>
    <xf numFmtId="10" fontId="6" fillId="0" borderId="1" xfId="13" applyNumberFormat="1" applyFont="1" applyFill="1" applyBorder="1" applyAlignment="1">
      <alignment horizontal="center" vertical="center" wrapText="1"/>
    </xf>
    <xf numFmtId="0" fontId="39" fillId="7" borderId="1" xfId="0" applyFont="1" applyFill="1" applyBorder="1" applyAlignment="1">
      <alignment horizontal="center" vertical="center"/>
    </xf>
    <xf numFmtId="0" fontId="6" fillId="0" borderId="16" xfId="0" applyFont="1" applyBorder="1" applyAlignment="1">
      <alignment vertical="center" wrapText="1"/>
    </xf>
    <xf numFmtId="10" fontId="6" fillId="0" borderId="1" xfId="0" applyNumberFormat="1" applyFont="1" applyBorder="1" applyAlignment="1">
      <alignment horizontal="center" vertical="center" wrapText="1"/>
    </xf>
    <xf numFmtId="0" fontId="6" fillId="0" borderId="0" xfId="0" applyFont="1" applyAlignment="1">
      <alignment vertical="center" wrapText="1"/>
    </xf>
    <xf numFmtId="0" fontId="6" fillId="0" borderId="2" xfId="0" applyFont="1" applyBorder="1" applyAlignment="1">
      <alignment vertical="center" wrapText="1"/>
    </xf>
    <xf numFmtId="10" fontId="39" fillId="0" borderId="1" xfId="13" applyNumberFormat="1" applyFont="1" applyFill="1" applyBorder="1" applyAlignment="1">
      <alignment horizontal="center" vertical="center" wrapText="1"/>
    </xf>
    <xf numFmtId="10" fontId="6" fillId="9" borderId="1" xfId="13" applyNumberFormat="1" applyFont="1" applyFill="1" applyBorder="1" applyAlignment="1">
      <alignment horizontal="center" vertical="center" wrapText="1"/>
    </xf>
    <xf numFmtId="9" fontId="6" fillId="0" borderId="1" xfId="13" applyFont="1" applyFill="1" applyBorder="1" applyAlignment="1">
      <alignment horizontal="center" vertical="center" wrapText="1"/>
    </xf>
    <xf numFmtId="0" fontId="39" fillId="0" borderId="1" xfId="0" applyFont="1" applyBorder="1" applyAlignment="1">
      <alignment vertical="center"/>
    </xf>
    <xf numFmtId="9" fontId="6"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0" fontId="6" fillId="0" borderId="0" xfId="0" applyFont="1" applyAlignment="1">
      <alignment horizontal="center" vertical="center" wrapText="1"/>
    </xf>
    <xf numFmtId="9" fontId="6" fillId="0" borderId="0" xfId="13" applyFont="1" applyFill="1" applyBorder="1" applyAlignment="1">
      <alignment horizontal="center" vertical="center"/>
    </xf>
    <xf numFmtId="0" fontId="39" fillId="9" borderId="1" xfId="0" applyFont="1" applyFill="1" applyBorder="1" applyAlignment="1">
      <alignment horizontal="center" vertical="center"/>
    </xf>
    <xf numFmtId="49" fontId="7" fillId="9" borderId="1" xfId="7" applyNumberFormat="1" applyFont="1" applyFill="1" applyBorder="1" applyAlignment="1">
      <alignment vertical="center" wrapText="1"/>
    </xf>
    <xf numFmtId="0" fontId="0" fillId="9" borderId="1" xfId="0" applyFill="1" applyBorder="1" applyAlignment="1">
      <alignment horizontal="center" vertical="center"/>
    </xf>
    <xf numFmtId="0" fontId="7" fillId="9" borderId="1" xfId="7" applyNumberFormat="1" applyFont="1" applyFill="1" applyBorder="1" applyAlignment="1">
      <alignment horizontal="center" vertical="center"/>
    </xf>
    <xf numFmtId="0" fontId="24" fillId="9" borderId="1" xfId="0" applyFont="1" applyFill="1" applyBorder="1" applyAlignment="1">
      <alignment horizontal="center" vertical="center"/>
    </xf>
    <xf numFmtId="0" fontId="7" fillId="9" borderId="1" xfId="7" applyNumberFormat="1" applyFont="1" applyFill="1" applyBorder="1" applyAlignment="1">
      <alignment horizontal="center" vertical="center" wrapText="1"/>
    </xf>
    <xf numFmtId="0" fontId="0" fillId="9" borderId="1" xfId="0" applyFill="1" applyBorder="1" applyAlignment="1">
      <alignment horizontal="center" vertical="center" wrapText="1"/>
    </xf>
    <xf numFmtId="0" fontId="38" fillId="28" borderId="1" xfId="0" applyFont="1" applyFill="1" applyBorder="1" applyAlignment="1">
      <alignment horizontal="center" vertical="center" wrapText="1"/>
    </xf>
    <xf numFmtId="43" fontId="0" fillId="28" borderId="1" xfId="0" applyNumberFormat="1" applyFill="1" applyBorder="1" applyAlignment="1">
      <alignment horizontal="center" vertical="center"/>
    </xf>
    <xf numFmtId="10" fontId="0" fillId="28" borderId="1" xfId="13" applyNumberFormat="1" applyFont="1" applyFill="1" applyBorder="1" applyAlignment="1">
      <alignment horizontal="center" vertical="center"/>
    </xf>
    <xf numFmtId="44" fontId="0" fillId="28" borderId="1" xfId="12" applyFont="1" applyFill="1" applyBorder="1" applyAlignment="1">
      <alignment horizontal="center" vertical="center"/>
    </xf>
    <xf numFmtId="0" fontId="0" fillId="0" borderId="18" xfId="0"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 fillId="3" borderId="1" xfId="0" applyFont="1" applyFill="1" applyBorder="1" applyAlignment="1">
      <alignment horizontal="left" vertical="center"/>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xf>
    <xf numFmtId="0" fontId="1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6"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8"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9" fillId="0" borderId="1" xfId="0" applyFont="1" applyBorder="1" applyAlignment="1">
      <alignment horizontal="center"/>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0" fontId="39" fillId="0" borderId="1" xfId="0" applyFont="1" applyBorder="1" applyAlignment="1">
      <alignment horizontal="center" vertical="center" wrapText="1"/>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14" xfId="0" applyFont="1" applyBorder="1" applyAlignment="1">
      <alignment horizontal="center" vertical="center"/>
    </xf>
    <xf numFmtId="0" fontId="39" fillId="0" borderId="1" xfId="0" applyFont="1" applyBorder="1" applyAlignment="1">
      <alignment horizontal="center" vertical="center"/>
    </xf>
    <xf numFmtId="0" fontId="39" fillId="0" borderId="18"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3" xfId="0" applyFont="1" applyBorder="1" applyAlignment="1">
      <alignment horizontal="center" vertical="center" wrapText="1"/>
    </xf>
    <xf numFmtId="49" fontId="39" fillId="0" borderId="1" xfId="0" applyNumberFormat="1" applyFont="1" applyBorder="1" applyAlignment="1">
      <alignment horizontal="center" vertical="center"/>
    </xf>
    <xf numFmtId="0" fontId="39" fillId="0" borderId="11" xfId="0" applyFont="1" applyBorder="1" applyAlignment="1">
      <alignment horizontal="center" vertical="center"/>
    </xf>
    <xf numFmtId="0" fontId="39" fillId="0" borderId="13" xfId="0" applyFont="1" applyBorder="1" applyAlignment="1">
      <alignment horizontal="center" vertical="center"/>
    </xf>
    <xf numFmtId="0" fontId="6" fillId="0" borderId="0" xfId="0" applyFont="1" applyAlignment="1">
      <alignment horizontal="center" vertical="center" wrapText="1"/>
    </xf>
    <xf numFmtId="0" fontId="13" fillId="25" borderId="2" xfId="0" applyFont="1" applyFill="1" applyBorder="1" applyAlignment="1">
      <alignment horizontal="center" vertical="center" wrapText="1"/>
    </xf>
    <xf numFmtId="0" fontId="13" fillId="25" borderId="4" xfId="0" applyFont="1" applyFill="1" applyBorder="1" applyAlignment="1">
      <alignment horizontal="center" vertical="center" wrapText="1"/>
    </xf>
    <xf numFmtId="0" fontId="44" fillId="16" borderId="1" xfId="0" applyFont="1" applyFill="1" applyBorder="1" applyAlignment="1">
      <alignment horizont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9" fontId="0" fillId="0" borderId="1" xfId="13" applyFont="1" applyBorder="1" applyAlignment="1">
      <alignment horizontal="center" vertical="center" wrapText="1"/>
    </xf>
    <xf numFmtId="10" fontId="0" fillId="0" borderId="18" xfId="13" applyNumberFormat="1" applyFont="1" applyFill="1" applyBorder="1" applyAlignment="1">
      <alignment horizontal="center" vertical="center" wrapText="1"/>
    </xf>
    <xf numFmtId="10" fontId="0" fillId="0" borderId="19" xfId="13" applyNumberFormat="1" applyFont="1" applyFill="1" applyBorder="1" applyAlignment="1">
      <alignment horizontal="center" vertical="center" wrapText="1"/>
    </xf>
    <xf numFmtId="10" fontId="0" fillId="0" borderId="20" xfId="13" applyNumberFormat="1" applyFont="1" applyFill="1" applyBorder="1" applyAlignment="1">
      <alignment horizontal="center" vertical="center" wrapText="1"/>
    </xf>
    <xf numFmtId="9" fontId="7" fillId="0" borderId="18" xfId="7" applyNumberFormat="1" applyFont="1" applyFill="1" applyBorder="1" applyAlignment="1">
      <alignment horizontal="center" vertical="center"/>
    </xf>
    <xf numFmtId="43" fontId="7" fillId="0" borderId="19" xfId="7" applyFont="1" applyFill="1" applyBorder="1" applyAlignment="1">
      <alignment horizontal="center" vertical="center"/>
    </xf>
    <xf numFmtId="43" fontId="7" fillId="0" borderId="20" xfId="7" applyFont="1" applyFill="1" applyBorder="1" applyAlignment="1">
      <alignment horizontal="center" vertical="center"/>
    </xf>
    <xf numFmtId="43" fontId="24" fillId="0" borderId="18" xfId="7" applyFont="1" applyFill="1" applyBorder="1" applyAlignment="1">
      <alignment horizontal="center" vertical="center"/>
    </xf>
    <xf numFmtId="43" fontId="24" fillId="0" borderId="19" xfId="7" applyFont="1" applyFill="1" applyBorder="1" applyAlignment="1">
      <alignment horizontal="center" vertical="center"/>
    </xf>
    <xf numFmtId="43" fontId="24" fillId="0" borderId="20" xfId="7" applyFont="1" applyFill="1" applyBorder="1" applyAlignment="1">
      <alignment horizontal="center" vertical="center"/>
    </xf>
    <xf numFmtId="44" fontId="24" fillId="0" borderId="18" xfId="12" applyFont="1" applyFill="1" applyBorder="1" applyAlignment="1">
      <alignment horizontal="center" vertical="center"/>
    </xf>
    <xf numFmtId="44" fontId="24" fillId="0" borderId="19" xfId="12" applyFont="1" applyFill="1" applyBorder="1" applyAlignment="1">
      <alignment horizontal="center" vertical="center"/>
    </xf>
    <xf numFmtId="44" fontId="24" fillId="0" borderId="20" xfId="12" applyFont="1" applyFill="1" applyBorder="1" applyAlignment="1">
      <alignment horizontal="center" vertical="center"/>
    </xf>
    <xf numFmtId="44" fontId="7" fillId="0" borderId="18" xfId="12" applyFont="1" applyFill="1" applyBorder="1" applyAlignment="1">
      <alignment horizontal="center" vertical="center"/>
    </xf>
    <xf numFmtId="44" fontId="7" fillId="0" borderId="19" xfId="12" applyFont="1" applyFill="1" applyBorder="1" applyAlignment="1">
      <alignment horizontal="center" vertical="center"/>
    </xf>
    <xf numFmtId="44" fontId="7" fillId="0" borderId="20" xfId="12" applyFont="1" applyFill="1" applyBorder="1" applyAlignment="1">
      <alignment horizontal="center" vertical="center"/>
    </xf>
    <xf numFmtId="9" fontId="0" fillId="0" borderId="18" xfId="13" applyFont="1" applyFill="1" applyBorder="1" applyAlignment="1">
      <alignment horizontal="center" vertical="center" wrapText="1"/>
    </xf>
    <xf numFmtId="9" fontId="0" fillId="0" borderId="19" xfId="13" applyFont="1" applyFill="1" applyBorder="1" applyAlignment="1">
      <alignment horizontal="center" vertical="center" wrapText="1"/>
    </xf>
    <xf numFmtId="9" fontId="0" fillId="0" borderId="20" xfId="13" applyFont="1" applyFill="1" applyBorder="1" applyAlignment="1">
      <alignment horizontal="center" vertical="center" wrapText="1"/>
    </xf>
    <xf numFmtId="9" fontId="7" fillId="0" borderId="18" xfId="13" applyFont="1" applyFill="1" applyBorder="1" applyAlignment="1">
      <alignment horizontal="center" vertical="center"/>
    </xf>
    <xf numFmtId="9" fontId="7" fillId="0" borderId="19" xfId="13" applyFont="1" applyFill="1" applyBorder="1" applyAlignment="1">
      <alignment horizontal="center" vertical="center"/>
    </xf>
    <xf numFmtId="9" fontId="7" fillId="0" borderId="20" xfId="13" applyFont="1" applyFill="1" applyBorder="1" applyAlignment="1">
      <alignment horizontal="center" vertical="center"/>
    </xf>
    <xf numFmtId="43" fontId="7" fillId="0" borderId="18" xfId="7" applyFont="1" applyFill="1" applyBorder="1" applyAlignment="1">
      <alignment horizontal="center" vertical="center"/>
    </xf>
    <xf numFmtId="10" fontId="0" fillId="0" borderId="1" xfId="13" applyNumberFormat="1"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44" fontId="0" fillId="0" borderId="18" xfId="12" applyFont="1" applyBorder="1" applyAlignment="1">
      <alignment horizontal="center" vertical="center" wrapText="1"/>
    </xf>
    <xf numFmtId="44" fontId="0" fillId="0" borderId="19" xfId="12" applyFont="1" applyBorder="1" applyAlignment="1">
      <alignment horizontal="center" vertical="center" wrapText="1"/>
    </xf>
    <xf numFmtId="44" fontId="0" fillId="0" borderId="20" xfId="12" applyFont="1" applyBorder="1" applyAlignment="1">
      <alignment horizontal="center" vertical="center" wrapText="1"/>
    </xf>
    <xf numFmtId="44" fontId="0" fillId="0" borderId="18" xfId="12" applyFont="1" applyFill="1" applyBorder="1" applyAlignment="1">
      <alignment horizontal="center" vertical="center" wrapText="1"/>
    </xf>
    <xf numFmtId="44" fontId="0" fillId="0" borderId="19" xfId="12" applyFont="1" applyFill="1" applyBorder="1" applyAlignment="1">
      <alignment horizontal="center" vertical="center" wrapText="1"/>
    </xf>
    <xf numFmtId="44" fontId="0" fillId="0" borderId="20" xfId="12" applyFont="1" applyFill="1" applyBorder="1" applyAlignment="1">
      <alignment horizontal="center" vertical="center" wrapText="1"/>
    </xf>
    <xf numFmtId="9" fontId="0" fillId="0" borderId="18" xfId="0" applyNumberFormat="1" applyBorder="1" applyAlignment="1">
      <alignment horizontal="center" vertical="center" wrapText="1"/>
    </xf>
    <xf numFmtId="9" fontId="0" fillId="0" borderId="19" xfId="0" applyNumberFormat="1" applyBorder="1" applyAlignment="1">
      <alignment horizontal="center" vertical="center" wrapText="1"/>
    </xf>
    <xf numFmtId="9" fontId="0" fillId="0" borderId="20" xfId="0" applyNumberForma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9" fontId="0" fillId="0" borderId="11" xfId="13" applyFont="1" applyFill="1" applyBorder="1" applyAlignment="1">
      <alignment horizontal="center" vertical="center" wrapText="1"/>
    </xf>
    <xf numFmtId="9" fontId="0" fillId="0" borderId="16" xfId="13" applyFont="1" applyFill="1" applyBorder="1" applyAlignment="1">
      <alignment horizontal="center" vertical="center" wrapText="1"/>
    </xf>
    <xf numFmtId="9" fontId="0" fillId="0" borderId="13" xfId="13" applyFont="1" applyFill="1" applyBorder="1" applyAlignment="1">
      <alignment horizontal="center" vertical="center" wrapText="1"/>
    </xf>
    <xf numFmtId="0" fontId="0" fillId="0" borderId="1" xfId="0" applyBorder="1" applyAlignment="1">
      <alignment horizontal="center" vertical="center" wrapText="1"/>
    </xf>
    <xf numFmtId="168" fontId="13" fillId="0" borderId="18" xfId="0" applyNumberFormat="1" applyFont="1" applyBorder="1" applyAlignment="1">
      <alignment horizontal="center" vertical="center" wrapText="1"/>
    </xf>
    <xf numFmtId="168" fontId="13" fillId="0" borderId="19" xfId="0" applyNumberFormat="1" applyFont="1" applyBorder="1" applyAlignment="1">
      <alignment horizontal="center" vertical="center" wrapText="1"/>
    </xf>
    <xf numFmtId="168" fontId="13" fillId="0" borderId="20" xfId="0" applyNumberFormat="1" applyFont="1" applyBorder="1" applyAlignment="1">
      <alignment horizontal="center" vertical="center" wrapText="1"/>
    </xf>
    <xf numFmtId="10" fontId="13" fillId="0" borderId="18" xfId="13" applyNumberFormat="1" applyFont="1" applyFill="1" applyBorder="1" applyAlignment="1">
      <alignment horizontal="center" vertical="center" wrapText="1"/>
    </xf>
    <xf numFmtId="10" fontId="13" fillId="0" borderId="19" xfId="13" applyNumberFormat="1" applyFont="1" applyFill="1" applyBorder="1" applyAlignment="1">
      <alignment horizontal="center" vertical="center" wrapText="1"/>
    </xf>
    <xf numFmtId="10" fontId="13" fillId="0" borderId="20" xfId="13" applyNumberFormat="1" applyFont="1" applyFill="1" applyBorder="1" applyAlignment="1">
      <alignment horizontal="center" vertical="center" wrapText="1"/>
    </xf>
    <xf numFmtId="164" fontId="24" fillId="0" borderId="18" xfId="7" applyNumberFormat="1" applyFont="1" applyFill="1" applyBorder="1" applyAlignment="1">
      <alignment horizontal="center" vertical="center"/>
    </xf>
    <xf numFmtId="164" fontId="24" fillId="0" borderId="19" xfId="7"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9" fontId="13" fillId="0" borderId="18" xfId="13" applyFont="1" applyFill="1" applyBorder="1" applyAlignment="1">
      <alignment horizontal="center" vertical="center" wrapText="1"/>
    </xf>
    <xf numFmtId="9" fontId="13" fillId="0" borderId="19" xfId="13" applyFont="1" applyFill="1" applyBorder="1" applyAlignment="1">
      <alignment horizontal="center" vertical="center" wrapText="1"/>
    </xf>
    <xf numFmtId="9" fontId="13" fillId="0" borderId="20" xfId="13"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44" fontId="0" fillId="0" borderId="11" xfId="12" applyFont="1" applyFill="1" applyBorder="1" applyAlignment="1">
      <alignment horizontal="center" vertical="center" wrapText="1"/>
    </xf>
    <xf numFmtId="44" fontId="0" fillId="0" borderId="16" xfId="12" applyFont="1" applyFill="1" applyBorder="1" applyAlignment="1">
      <alignment horizontal="center" vertical="center" wrapText="1"/>
    </xf>
    <xf numFmtId="44" fontId="0" fillId="0" borderId="13" xfId="12" applyFont="1" applyFill="1" applyBorder="1" applyAlignment="1">
      <alignment horizontal="center" vertical="center" wrapText="1"/>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44" fontId="7" fillId="17" borderId="18" xfId="12" applyFont="1" applyFill="1" applyBorder="1" applyAlignment="1">
      <alignment horizontal="center" vertical="center"/>
    </xf>
    <xf numFmtId="44" fontId="7" fillId="17" borderId="19" xfId="12" applyFont="1" applyFill="1" applyBorder="1" applyAlignment="1">
      <alignment horizontal="center" vertical="center"/>
    </xf>
    <xf numFmtId="44" fontId="7" fillId="17" borderId="20" xfId="12" applyFont="1" applyFill="1" applyBorder="1" applyAlignment="1">
      <alignment horizontal="center" vertical="center"/>
    </xf>
    <xf numFmtId="49" fontId="24" fillId="0" borderId="1" xfId="7" applyNumberFormat="1" applyFont="1" applyFill="1" applyBorder="1" applyAlignment="1">
      <alignment horizontal="center" vertical="center" wrapText="1"/>
    </xf>
    <xf numFmtId="49" fontId="7" fillId="0" borderId="18" xfId="7" applyNumberFormat="1" applyFont="1" applyFill="1" applyBorder="1" applyAlignment="1">
      <alignment horizontal="center" vertical="center" wrapText="1"/>
    </xf>
    <xf numFmtId="49" fontId="7" fillId="0" borderId="19" xfId="7" applyNumberFormat="1" applyFont="1" applyFill="1" applyBorder="1" applyAlignment="1">
      <alignment horizontal="center" vertical="center" wrapText="1"/>
    </xf>
    <xf numFmtId="49" fontId="7" fillId="0" borderId="20" xfId="7" applyNumberFormat="1" applyFont="1" applyFill="1" applyBorder="1" applyAlignment="1">
      <alignment horizontal="center" vertical="center" wrapText="1"/>
    </xf>
    <xf numFmtId="49" fontId="24" fillId="0" borderId="18" xfId="7" applyNumberFormat="1" applyFont="1" applyFill="1" applyBorder="1" applyAlignment="1">
      <alignment horizontal="center" vertical="center" wrapText="1"/>
    </xf>
    <xf numFmtId="49" fontId="24" fillId="0" borderId="19" xfId="7" applyNumberFormat="1" applyFont="1" applyFill="1" applyBorder="1" applyAlignment="1">
      <alignment horizontal="center" vertical="center" wrapText="1"/>
    </xf>
    <xf numFmtId="49" fontId="24" fillId="0" borderId="20" xfId="7" applyNumberFormat="1"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0" fontId="22" fillId="0" borderId="1" xfId="1" applyFont="1" applyBorder="1" applyAlignment="1">
      <alignment horizontal="center" wrapText="1"/>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8" xfId="1" applyFont="1" applyFill="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vertical="center"/>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43" fontId="7" fillId="3" borderId="18" xfId="7" applyFont="1" applyFill="1" applyBorder="1" applyAlignment="1">
      <alignment horizontal="center" vertical="center"/>
    </xf>
    <xf numFmtId="43" fontId="7" fillId="3" borderId="19" xfId="7" applyFont="1" applyFill="1" applyBorder="1" applyAlignment="1">
      <alignment horizontal="center" vertical="center"/>
    </xf>
    <xf numFmtId="43" fontId="7" fillId="3" borderId="20" xfId="7" applyFont="1"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2" xfId="1" applyFont="1" applyFill="1" applyBorder="1" applyAlignment="1">
      <alignment horizontal="center" vertical="center"/>
    </xf>
    <xf numFmtId="0" fontId="19" fillId="2" borderId="4" xfId="1" applyFont="1" applyFill="1" applyBorder="1" applyAlignment="1">
      <alignment horizontal="center" vertical="center"/>
    </xf>
    <xf numFmtId="10" fontId="0" fillId="3" borderId="18" xfId="13" applyNumberFormat="1" applyFont="1" applyFill="1" applyBorder="1" applyAlignment="1">
      <alignment horizontal="center" vertical="center"/>
    </xf>
    <xf numFmtId="10" fontId="0" fillId="3" borderId="19" xfId="13" applyNumberFormat="1" applyFont="1" applyFill="1" applyBorder="1" applyAlignment="1">
      <alignment horizontal="center" vertical="center"/>
    </xf>
    <xf numFmtId="10" fontId="0" fillId="3" borderId="20" xfId="13" applyNumberFormat="1" applyFont="1" applyFill="1" applyBorder="1" applyAlignment="1">
      <alignment horizontal="center" vertical="center"/>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 xfId="0" applyFont="1" applyFill="1" applyBorder="1" applyAlignment="1">
      <alignment horizontal="center" vertical="center" wrapText="1"/>
    </xf>
    <xf numFmtId="43" fontId="7" fillId="10" borderId="18" xfId="7" applyFont="1" applyFill="1" applyBorder="1" applyAlignment="1">
      <alignment horizontal="center" vertical="center"/>
    </xf>
    <xf numFmtId="43" fontId="7" fillId="10" borderId="19" xfId="7" applyFont="1" applyFill="1" applyBorder="1" applyAlignment="1">
      <alignment horizontal="center" vertical="center"/>
    </xf>
    <xf numFmtId="43" fontId="7" fillId="10" borderId="20" xfId="7" applyFont="1" applyFill="1" applyBorder="1" applyAlignment="1">
      <alignment horizontal="center" vertical="center"/>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44" fontId="0" fillId="10" borderId="18"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0" fillId="10" borderId="20" xfId="12" applyFont="1" applyFill="1" applyBorder="1" applyAlignment="1">
      <alignment horizontal="center" vertical="center" wrapText="1"/>
    </xf>
    <xf numFmtId="10" fontId="0" fillId="10" borderId="18" xfId="0" applyNumberFormat="1" applyFill="1" applyBorder="1" applyAlignment="1">
      <alignment horizontal="center" vertical="center" wrapText="1"/>
    </xf>
    <xf numFmtId="10" fontId="0" fillId="10" borderId="19" xfId="0" applyNumberFormat="1" applyFill="1" applyBorder="1" applyAlignment="1">
      <alignment horizontal="center" vertical="center" wrapText="1"/>
    </xf>
    <xf numFmtId="10" fontId="0" fillId="10" borderId="20" xfId="0" applyNumberFormat="1" applyFill="1" applyBorder="1" applyAlignment="1">
      <alignment horizontal="center" vertical="center" wrapText="1"/>
    </xf>
    <xf numFmtId="44" fontId="0" fillId="3" borderId="18" xfId="12" applyFont="1" applyFill="1" applyBorder="1" applyAlignment="1">
      <alignment horizontal="center" vertical="center"/>
    </xf>
    <xf numFmtId="44" fontId="0" fillId="3" borderId="19" xfId="12" applyFont="1" applyFill="1" applyBorder="1" applyAlignment="1">
      <alignment horizontal="center" vertical="center"/>
    </xf>
    <xf numFmtId="44" fontId="0" fillId="3" borderId="20" xfId="12" applyFont="1" applyFill="1" applyBorder="1" applyAlignment="1">
      <alignment horizontal="center" vertical="center"/>
    </xf>
    <xf numFmtId="10" fontId="0" fillId="3" borderId="18" xfId="0" applyNumberFormat="1" applyFill="1" applyBorder="1" applyAlignment="1">
      <alignment horizontal="center" vertical="center"/>
    </xf>
    <xf numFmtId="10" fontId="0" fillId="3" borderId="19" xfId="0" applyNumberFormat="1" applyFill="1" applyBorder="1" applyAlignment="1">
      <alignment horizontal="center" vertical="center"/>
    </xf>
    <xf numFmtId="10" fontId="0" fillId="3" borderId="20" xfId="0" applyNumberFormat="1" applyFill="1" applyBorder="1" applyAlignment="1">
      <alignment horizontal="center" vertical="center"/>
    </xf>
    <xf numFmtId="9" fontId="0" fillId="10" borderId="18" xfId="12" applyNumberFormat="1" applyFont="1" applyFill="1" applyBorder="1" applyAlignment="1">
      <alignment horizontal="center" vertical="center" wrapText="1"/>
    </xf>
    <xf numFmtId="164" fontId="24" fillId="7" borderId="18" xfId="7" applyNumberFormat="1" applyFont="1" applyFill="1" applyBorder="1" applyAlignment="1">
      <alignment horizontal="center" vertical="center"/>
    </xf>
    <xf numFmtId="164" fontId="24" fillId="7" borderId="19" xfId="7" applyNumberFormat="1" applyFont="1" applyFill="1" applyBorder="1" applyAlignment="1">
      <alignment horizontal="center" vertical="center"/>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44" fontId="15" fillId="7" borderId="18" xfId="12" applyFont="1" applyFill="1" applyBorder="1" applyAlignment="1">
      <alignment horizontal="center" vertical="center" wrapText="1"/>
    </xf>
    <xf numFmtId="44" fontId="15" fillId="7" borderId="19" xfId="12" applyFont="1" applyFill="1" applyBorder="1" applyAlignment="1">
      <alignment horizontal="center" vertical="center" wrapText="1"/>
    </xf>
    <xf numFmtId="44" fontId="15" fillId="7" borderId="20" xfId="12" applyFont="1" applyFill="1" applyBorder="1" applyAlignment="1">
      <alignment horizontal="center" vertical="center" wrapText="1"/>
    </xf>
    <xf numFmtId="10" fontId="15" fillId="7" borderId="18" xfId="0" applyNumberFormat="1" applyFont="1" applyFill="1" applyBorder="1" applyAlignment="1">
      <alignment horizontal="center" vertical="center" wrapText="1"/>
    </xf>
    <xf numFmtId="10" fontId="15" fillId="7" borderId="19" xfId="0" applyNumberFormat="1" applyFont="1" applyFill="1" applyBorder="1" applyAlignment="1">
      <alignment horizontal="center" vertical="center" wrapText="1"/>
    </xf>
    <xf numFmtId="10" fontId="15" fillId="7" borderId="20" xfId="0" applyNumberFormat="1" applyFont="1" applyFill="1" applyBorder="1" applyAlignment="1">
      <alignment horizontal="center" vertical="center" wrapText="1"/>
    </xf>
    <xf numFmtId="9" fontId="15" fillId="7" borderId="18" xfId="12" applyNumberFormat="1" applyFont="1" applyFill="1" applyBorder="1" applyAlignment="1">
      <alignment horizontal="center" vertical="center" wrapText="1"/>
    </xf>
    <xf numFmtId="43" fontId="24" fillId="11" borderId="18" xfId="7" applyFont="1" applyFill="1" applyBorder="1" applyAlignment="1">
      <alignment horizontal="center" vertical="center"/>
    </xf>
    <xf numFmtId="43" fontId="24" fillId="11" borderId="19" xfId="7" applyFont="1" applyFill="1" applyBorder="1" applyAlignment="1">
      <alignment horizontal="center" vertical="center"/>
    </xf>
    <xf numFmtId="43" fontId="24" fillId="11" borderId="20" xfId="7" applyFont="1" applyFill="1" applyBorder="1" applyAlignment="1">
      <alignment horizontal="center" vertical="center"/>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44" fontId="15" fillId="11" borderId="18" xfId="12" applyFont="1" applyFill="1" applyBorder="1" applyAlignment="1">
      <alignment horizontal="center" vertical="center" wrapText="1"/>
    </xf>
    <xf numFmtId="44" fontId="15" fillId="11" borderId="19" xfId="12" applyFont="1" applyFill="1" applyBorder="1" applyAlignment="1">
      <alignment horizontal="center" vertical="center" wrapText="1"/>
    </xf>
    <xf numFmtId="44" fontId="15" fillId="11" borderId="20" xfId="12" applyFont="1" applyFill="1" applyBorder="1" applyAlignment="1">
      <alignment horizontal="center" vertical="center" wrapText="1"/>
    </xf>
    <xf numFmtId="10" fontId="15" fillId="11" borderId="18" xfId="0" applyNumberFormat="1" applyFont="1" applyFill="1" applyBorder="1" applyAlignment="1">
      <alignment horizontal="center" vertical="center" wrapText="1"/>
    </xf>
    <xf numFmtId="10" fontId="15" fillId="11" borderId="19" xfId="0" applyNumberFormat="1" applyFont="1" applyFill="1" applyBorder="1" applyAlignment="1">
      <alignment horizontal="center" vertical="center" wrapText="1"/>
    </xf>
    <xf numFmtId="10" fontId="15" fillId="11" borderId="20" xfId="0" applyNumberFormat="1" applyFont="1" applyFill="1" applyBorder="1" applyAlignment="1">
      <alignment horizontal="center" vertical="center" wrapText="1"/>
    </xf>
    <xf numFmtId="10" fontId="15" fillId="12" borderId="18" xfId="0" applyNumberFormat="1"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5" fillId="12" borderId="20" xfId="0" applyFont="1" applyFill="1" applyBorder="1" applyAlignment="1">
      <alignment horizontal="center" vertical="center" wrapText="1"/>
    </xf>
    <xf numFmtId="44" fontId="15" fillId="12" borderId="18" xfId="12" applyFont="1" applyFill="1" applyBorder="1" applyAlignment="1">
      <alignment horizontal="center" vertical="center" wrapText="1"/>
    </xf>
    <xf numFmtId="44" fontId="15" fillId="12" borderId="19" xfId="12" applyFont="1" applyFill="1" applyBorder="1" applyAlignment="1">
      <alignment horizontal="center" vertical="center" wrapText="1"/>
    </xf>
    <xf numFmtId="44" fontId="15" fillId="12" borderId="20" xfId="12" applyFont="1" applyFill="1" applyBorder="1" applyAlignment="1">
      <alignment horizontal="center" vertical="center" wrapText="1"/>
    </xf>
    <xf numFmtId="9" fontId="15" fillId="12" borderId="18" xfId="12" applyNumberFormat="1" applyFont="1" applyFill="1" applyBorder="1" applyAlignment="1">
      <alignment horizontal="center" vertical="center" wrapText="1"/>
    </xf>
    <xf numFmtId="9" fontId="15" fillId="11" borderId="18" xfId="12" applyNumberFormat="1" applyFont="1" applyFill="1" applyBorder="1" applyAlignment="1">
      <alignment horizontal="center" vertical="center" wrapText="1"/>
    </xf>
    <xf numFmtId="43" fontId="24" fillId="12" borderId="18" xfId="7" applyFont="1" applyFill="1" applyBorder="1" applyAlignment="1">
      <alignment horizontal="center" vertical="center"/>
    </xf>
    <xf numFmtId="43" fontId="24" fillId="12" borderId="19" xfId="7" applyFont="1" applyFill="1" applyBorder="1" applyAlignment="1">
      <alignment horizontal="center" vertical="center"/>
    </xf>
    <xf numFmtId="43" fontId="24" fillId="12" borderId="20" xfId="7" applyFont="1" applyFill="1" applyBorder="1" applyAlignment="1">
      <alignment horizontal="center" vertical="center"/>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10" fontId="15" fillId="14" borderId="18" xfId="0" applyNumberFormat="1" applyFont="1" applyFill="1" applyBorder="1" applyAlignment="1">
      <alignment horizontal="center" vertical="center" wrapText="1"/>
    </xf>
    <xf numFmtId="10" fontId="15" fillId="14" borderId="19" xfId="0" applyNumberFormat="1" applyFont="1" applyFill="1" applyBorder="1" applyAlignment="1">
      <alignment horizontal="center" vertical="center" wrapText="1"/>
    </xf>
    <xf numFmtId="44" fontId="15" fillId="14" borderId="18" xfId="12" applyFont="1" applyFill="1" applyBorder="1" applyAlignment="1">
      <alignment horizontal="center" vertical="center" wrapText="1"/>
    </xf>
    <xf numFmtId="44" fontId="15" fillId="14" borderId="19" xfId="12" applyFont="1" applyFill="1" applyBorder="1" applyAlignment="1">
      <alignment horizontal="center" vertical="center" wrapText="1"/>
    </xf>
    <xf numFmtId="9" fontId="15" fillId="14" borderId="18" xfId="12" applyNumberFormat="1" applyFont="1" applyFill="1" applyBorder="1" applyAlignment="1">
      <alignment horizontal="center" vertical="center" wrapText="1"/>
    </xf>
    <xf numFmtId="44" fontId="15" fillId="13" borderId="18" xfId="12" applyFont="1" applyFill="1" applyBorder="1" applyAlignment="1">
      <alignment horizontal="center" vertical="center" wrapText="1"/>
    </xf>
    <xf numFmtId="44" fontId="15" fillId="13" borderId="19" xfId="12" applyFont="1" applyFill="1" applyBorder="1" applyAlignment="1">
      <alignment horizontal="center" vertical="center" wrapText="1"/>
    </xf>
    <xf numFmtId="44" fontId="15" fillId="13" borderId="20" xfId="12" applyFont="1" applyFill="1" applyBorder="1" applyAlignment="1">
      <alignment horizontal="center" vertical="center" wrapText="1"/>
    </xf>
    <xf numFmtId="9" fontId="15" fillId="13" borderId="18" xfId="12" applyNumberFormat="1" applyFont="1" applyFill="1" applyBorder="1" applyAlignment="1">
      <alignment horizontal="center" vertical="center" wrapText="1"/>
    </xf>
    <xf numFmtId="43" fontId="7" fillId="14" borderId="18"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8"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8" xfId="0" applyFill="1" applyBorder="1" applyAlignment="1">
      <alignment horizontal="center" vertical="center" wrapText="1"/>
    </xf>
    <xf numFmtId="0" fontId="0" fillId="14" borderId="19" xfId="0" applyFill="1" applyBorder="1" applyAlignment="1">
      <alignment horizontal="center" vertical="center" wrapText="1"/>
    </xf>
    <xf numFmtId="43" fontId="7" fillId="13" borderId="18" xfId="7" applyFont="1" applyFill="1" applyBorder="1" applyAlignment="1">
      <alignment horizontal="center" vertical="center"/>
    </xf>
    <xf numFmtId="43" fontId="7" fillId="13" borderId="19" xfId="7" applyFont="1" applyFill="1" applyBorder="1" applyAlignment="1">
      <alignment horizontal="center" vertical="center"/>
    </xf>
    <xf numFmtId="43" fontId="7" fillId="13" borderId="20" xfId="7" applyFont="1" applyFill="1" applyBorder="1" applyAlignment="1">
      <alignment horizontal="center" vertical="center"/>
    </xf>
    <xf numFmtId="43" fontId="0" fillId="13" borderId="18" xfId="7" applyFont="1" applyFill="1" applyBorder="1" applyAlignment="1">
      <alignment horizontal="center" vertical="center"/>
    </xf>
    <xf numFmtId="43" fontId="0" fillId="13" borderId="19" xfId="7" applyFont="1" applyFill="1" applyBorder="1" applyAlignment="1">
      <alignment horizontal="center" vertical="center"/>
    </xf>
    <xf numFmtId="43" fontId="0" fillId="13" borderId="20" xfId="7" applyFont="1" applyFill="1" applyBorder="1" applyAlignment="1">
      <alignment horizontal="center" vertical="center"/>
    </xf>
    <xf numFmtId="0" fontId="0" fillId="13" borderId="18"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0" xfId="0" applyFill="1" applyBorder="1" applyAlignment="1">
      <alignment horizontal="center" vertical="center" wrapText="1"/>
    </xf>
    <xf numFmtId="10" fontId="15" fillId="13" borderId="18" xfId="0" applyNumberFormat="1" applyFont="1" applyFill="1" applyBorder="1" applyAlignment="1">
      <alignment horizontal="center" vertical="center" wrapText="1"/>
    </xf>
    <xf numFmtId="10" fontId="15" fillId="13" borderId="19" xfId="0" applyNumberFormat="1" applyFont="1" applyFill="1" applyBorder="1" applyAlignment="1">
      <alignment horizontal="center" vertical="center" wrapText="1"/>
    </xf>
    <xf numFmtId="10" fontId="15" fillId="13" borderId="20" xfId="0" applyNumberFormat="1" applyFont="1" applyFill="1" applyBorder="1" applyAlignment="1">
      <alignment horizontal="center" vertical="center" wrapText="1"/>
    </xf>
    <xf numFmtId="10" fontId="15" fillId="16" borderId="18" xfId="0" applyNumberFormat="1" applyFont="1" applyFill="1" applyBorder="1" applyAlignment="1">
      <alignment horizontal="center" vertical="center" wrapText="1"/>
    </xf>
    <xf numFmtId="10" fontId="15" fillId="16" borderId="19" xfId="0" applyNumberFormat="1" applyFont="1" applyFill="1" applyBorder="1" applyAlignment="1">
      <alignment horizontal="center" vertical="center" wrapText="1"/>
    </xf>
    <xf numFmtId="10" fontId="15" fillId="16" borderId="20" xfId="0" applyNumberFormat="1" applyFont="1" applyFill="1" applyBorder="1" applyAlignment="1">
      <alignment horizontal="center" vertical="center" wrapText="1"/>
    </xf>
    <xf numFmtId="44" fontId="15" fillId="16" borderId="18" xfId="12" applyFont="1" applyFill="1" applyBorder="1" applyAlignment="1">
      <alignment horizontal="center" vertical="center" wrapText="1"/>
    </xf>
    <xf numFmtId="44" fontId="15" fillId="16" borderId="19" xfId="12" applyFont="1" applyFill="1" applyBorder="1" applyAlignment="1">
      <alignment horizontal="center" vertical="center" wrapText="1"/>
    </xf>
    <xf numFmtId="44" fontId="15" fillId="16" borderId="20" xfId="12" applyFont="1" applyFill="1" applyBorder="1" applyAlignment="1">
      <alignment horizontal="center" vertical="center" wrapText="1"/>
    </xf>
    <xf numFmtId="10" fontId="15" fillId="16" borderId="18" xfId="13" applyNumberFormat="1" applyFont="1" applyFill="1" applyBorder="1" applyAlignment="1">
      <alignment horizontal="center" vertical="center" wrapText="1"/>
    </xf>
    <xf numFmtId="10" fontId="15" fillId="16" borderId="19" xfId="13" applyNumberFormat="1" applyFont="1" applyFill="1" applyBorder="1" applyAlignment="1">
      <alignment horizontal="center" vertical="center" wrapText="1"/>
    </xf>
    <xf numFmtId="10" fontId="15" fillId="16" borderId="20" xfId="13" applyNumberFormat="1" applyFont="1" applyFill="1" applyBorder="1" applyAlignment="1">
      <alignment horizontal="center" vertical="center" wrapText="1"/>
    </xf>
    <xf numFmtId="44" fontId="15" fillId="15" borderId="18" xfId="12" applyFont="1" applyFill="1" applyBorder="1" applyAlignment="1">
      <alignment horizontal="center" vertical="center" wrapText="1"/>
    </xf>
    <xf numFmtId="44" fontId="15" fillId="15" borderId="19" xfId="12" applyFont="1" applyFill="1" applyBorder="1" applyAlignment="1">
      <alignment horizontal="center" vertical="center" wrapText="1"/>
    </xf>
    <xf numFmtId="44" fontId="15" fillId="15" borderId="20" xfId="12" applyFont="1" applyFill="1" applyBorder="1" applyAlignment="1">
      <alignment horizontal="center" vertical="center" wrapText="1"/>
    </xf>
    <xf numFmtId="9" fontId="15" fillId="15" borderId="18" xfId="12" applyNumberFormat="1" applyFont="1" applyFill="1" applyBorder="1" applyAlignment="1">
      <alignment horizontal="center" vertical="center" wrapText="1"/>
    </xf>
    <xf numFmtId="43" fontId="7" fillId="16" borderId="18" xfId="7" applyFont="1" applyFill="1" applyBorder="1" applyAlignment="1">
      <alignment horizontal="center" vertical="center"/>
    </xf>
    <xf numFmtId="43" fontId="7" fillId="16" borderId="19" xfId="7" applyFont="1" applyFill="1" applyBorder="1" applyAlignment="1">
      <alignment horizontal="center" vertical="center"/>
    </xf>
    <xf numFmtId="43" fontId="7" fillId="16" borderId="20" xfId="7" applyFont="1" applyFill="1" applyBorder="1" applyAlignment="1">
      <alignment horizontal="center" vertical="center"/>
    </xf>
    <xf numFmtId="0" fontId="0" fillId="16" borderId="18" xfId="0" applyFill="1" applyBorder="1" applyAlignment="1">
      <alignment horizontal="center" vertical="center" wrapText="1"/>
    </xf>
    <xf numFmtId="0" fontId="0" fillId="16" borderId="19" xfId="0" applyFill="1" applyBorder="1" applyAlignment="1">
      <alignment horizontal="center" vertical="center" wrapText="1"/>
    </xf>
    <xf numFmtId="0" fontId="0" fillId="16" borderId="20" xfId="0" applyFill="1" applyBorder="1" applyAlignment="1">
      <alignment horizontal="center" vertical="center" wrapText="1"/>
    </xf>
    <xf numFmtId="43" fontId="24" fillId="15" borderId="18" xfId="7" applyFont="1" applyFill="1" applyBorder="1" applyAlignment="1">
      <alignment horizontal="center" vertical="center"/>
    </xf>
    <xf numFmtId="43" fontId="24" fillId="15" borderId="19" xfId="7" applyFont="1" applyFill="1" applyBorder="1" applyAlignment="1">
      <alignment horizontal="center" vertical="center"/>
    </xf>
    <xf numFmtId="43" fontId="24" fillId="15" borderId="20" xfId="7" applyFont="1" applyFill="1" applyBorder="1" applyAlignment="1">
      <alignment horizontal="center" vertical="center"/>
    </xf>
    <xf numFmtId="43" fontId="0" fillId="15" borderId="18" xfId="7" applyFont="1" applyFill="1" applyBorder="1" applyAlignment="1">
      <alignment horizontal="center" vertical="center"/>
    </xf>
    <xf numFmtId="43" fontId="0" fillId="15" borderId="19" xfId="7" applyFont="1" applyFill="1" applyBorder="1" applyAlignment="1">
      <alignment horizontal="center" vertical="center"/>
    </xf>
    <xf numFmtId="43" fontId="0" fillId="15" borderId="20" xfId="7" applyFont="1" applyFill="1" applyBorder="1" applyAlignment="1">
      <alignment horizontal="center" vertical="center"/>
    </xf>
    <xf numFmtId="0" fontId="0" fillId="15" borderId="18"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0" xfId="0" applyFill="1" applyBorder="1" applyAlignment="1">
      <alignment horizontal="center" vertical="center" wrapText="1"/>
    </xf>
    <xf numFmtId="10" fontId="15" fillId="15" borderId="18" xfId="0" applyNumberFormat="1" applyFont="1" applyFill="1" applyBorder="1" applyAlignment="1">
      <alignment horizontal="center" vertical="center" wrapText="1"/>
    </xf>
    <xf numFmtId="0" fontId="15" fillId="15" borderId="19" xfId="0" applyFont="1" applyFill="1" applyBorder="1" applyAlignment="1">
      <alignment horizontal="center" vertical="center" wrapText="1"/>
    </xf>
    <xf numFmtId="0" fontId="15" fillId="15" borderId="20" xfId="0" applyFont="1" applyFill="1" applyBorder="1" applyAlignment="1">
      <alignment horizontal="center" vertical="center" wrapText="1"/>
    </xf>
    <xf numFmtId="44" fontId="15" fillId="18" borderId="18" xfId="12" applyFont="1" applyFill="1" applyBorder="1" applyAlignment="1">
      <alignment horizontal="center" vertical="center" wrapText="1"/>
    </xf>
    <xf numFmtId="44" fontId="15" fillId="18" borderId="20" xfId="12" applyFont="1" applyFill="1" applyBorder="1" applyAlignment="1">
      <alignment horizontal="center" vertical="center" wrapText="1"/>
    </xf>
    <xf numFmtId="9" fontId="15" fillId="18" borderId="18" xfId="13" applyFont="1" applyFill="1" applyBorder="1" applyAlignment="1">
      <alignment horizontal="center" vertical="center" wrapText="1"/>
    </xf>
    <xf numFmtId="9" fontId="15" fillId="18" borderId="20" xfId="13" applyFont="1" applyFill="1" applyBorder="1" applyAlignment="1">
      <alignment horizontal="center" vertical="center" wrapText="1"/>
    </xf>
    <xf numFmtId="9" fontId="15" fillId="18" borderId="18" xfId="12" applyNumberFormat="1" applyFont="1" applyFill="1" applyBorder="1" applyAlignment="1">
      <alignment horizontal="center" vertical="center" wrapText="1"/>
    </xf>
    <xf numFmtId="0" fontId="32" fillId="3" borderId="1" xfId="0" applyFont="1" applyFill="1" applyBorder="1" applyAlignment="1">
      <alignment horizontal="center" vertical="center" wrapText="1"/>
    </xf>
    <xf numFmtId="44" fontId="15" fillId="17" borderId="18" xfId="12" applyFont="1" applyFill="1" applyBorder="1" applyAlignment="1">
      <alignment horizontal="center" vertical="center" wrapText="1"/>
    </xf>
    <xf numFmtId="44" fontId="15" fillId="17" borderId="19" xfId="12" applyFont="1" applyFill="1" applyBorder="1" applyAlignment="1">
      <alignment horizontal="center" vertical="center" wrapText="1"/>
    </xf>
    <xf numFmtId="44" fontId="15" fillId="17" borderId="20" xfId="12" applyFont="1" applyFill="1" applyBorder="1" applyAlignment="1">
      <alignment horizontal="center" vertical="center" wrapText="1"/>
    </xf>
    <xf numFmtId="9" fontId="15" fillId="17" borderId="18" xfId="12" applyNumberFormat="1" applyFont="1" applyFill="1" applyBorder="1" applyAlignment="1">
      <alignment horizontal="center" vertical="center" wrapText="1"/>
    </xf>
    <xf numFmtId="43" fontId="7" fillId="18" borderId="18" xfId="7" applyFont="1" applyFill="1" applyBorder="1" applyAlignment="1">
      <alignment horizontal="center" vertical="center"/>
    </xf>
    <xf numFmtId="43" fontId="7" fillId="18" borderId="20" xfId="7" applyFont="1" applyFill="1" applyBorder="1" applyAlignment="1">
      <alignment horizontal="center" vertical="center"/>
    </xf>
    <xf numFmtId="10" fontId="15" fillId="18" borderId="18" xfId="0" applyNumberFormat="1" applyFont="1" applyFill="1" applyBorder="1" applyAlignment="1">
      <alignment horizontal="center" vertical="center" wrapText="1"/>
    </xf>
    <xf numFmtId="10" fontId="15" fillId="18" borderId="20" xfId="0" applyNumberFormat="1" applyFont="1" applyFill="1" applyBorder="1" applyAlignment="1">
      <alignment horizontal="center" vertical="center" wrapText="1"/>
    </xf>
    <xf numFmtId="43" fontId="7" fillId="17" borderId="18" xfId="7" applyFont="1" applyFill="1" applyBorder="1" applyAlignment="1">
      <alignment horizontal="center" vertical="center"/>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18" xfId="0" applyFill="1" applyBorder="1" applyAlignment="1">
      <alignment horizontal="center" vertical="center"/>
    </xf>
    <xf numFmtId="0" fontId="0" fillId="17" borderId="19" xfId="0" applyFill="1" applyBorder="1" applyAlignment="1">
      <alignment horizontal="center" vertical="center"/>
    </xf>
    <xf numFmtId="0" fontId="0" fillId="17" borderId="20" xfId="0" applyFill="1" applyBorder="1" applyAlignment="1">
      <alignment horizontal="center" vertical="center"/>
    </xf>
    <xf numFmtId="10" fontId="15" fillId="17" borderId="18" xfId="0" applyNumberFormat="1" applyFont="1" applyFill="1" applyBorder="1" applyAlignment="1">
      <alignment horizontal="center" vertical="center" wrapText="1"/>
    </xf>
    <xf numFmtId="10" fontId="15" fillId="17" borderId="19" xfId="0" applyNumberFormat="1" applyFont="1" applyFill="1" applyBorder="1" applyAlignment="1">
      <alignment horizontal="center" vertical="center" wrapText="1"/>
    </xf>
    <xf numFmtId="10" fontId="15" fillId="17" borderId="20" xfId="0" applyNumberFormat="1" applyFont="1" applyFill="1" applyBorder="1" applyAlignment="1">
      <alignment horizontal="center" vertical="center" wrapText="1"/>
    </xf>
  </cellXfs>
  <cellStyles count="15">
    <cellStyle name="BodyStyle" xfId="5" xr:uid="{00000000-0005-0000-0000-000000000000}"/>
    <cellStyle name="HeaderStyle" xfId="4" xr:uid="{00000000-0005-0000-0000-000001000000}"/>
    <cellStyle name="Hipervínculo" xfId="14" builtinId="8"/>
    <cellStyle name="Millares" xfId="7" builtinId="3"/>
    <cellStyle name="Millares 2" xfId="3" xr:uid="{00000000-0005-0000-0000-000004000000}"/>
    <cellStyle name="Millares 2 2" xfId="8" xr:uid="{00000000-0005-0000-0000-000005000000}"/>
    <cellStyle name="Moneda" xfId="12" builtinId="4"/>
    <cellStyle name="Moneda 2" xfId="2" xr:uid="{00000000-0005-0000-0000-000007000000}"/>
    <cellStyle name="Moneda 3" xfId="9" xr:uid="{00000000-0005-0000-0000-000008000000}"/>
    <cellStyle name="Normal" xfId="0" builtinId="0"/>
    <cellStyle name="Normal 2" xfId="1" xr:uid="{00000000-0005-0000-0000-00000A000000}"/>
    <cellStyle name="Normal 3" xfId="11" xr:uid="{00000000-0005-0000-0000-00000B000000}"/>
    <cellStyle name="Normal 7" xfId="10" xr:uid="{00000000-0005-0000-0000-00000C000000}"/>
    <cellStyle name="Numeric" xfId="6" xr:uid="{00000000-0005-0000-0000-00000D000000}"/>
    <cellStyle name="Porcentaje" xfId="13" builtinId="5"/>
  </cellStyles>
  <dxfs count="0"/>
  <tableStyles count="0" defaultTableStyle="TableStyleMedium2" defaultPivotStyle="PivotStyleLight16"/>
  <colors>
    <mruColors>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Avances</a:t>
            </a:r>
            <a:r>
              <a:rPr lang="es-CO" baseline="0"/>
              <a:t> del IDER Corte sept 15 </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Hoja1!$B$3:$B$7</c:f>
              <c:strCache>
                <c:ptCount val="5"/>
                <c:pt idx="0">
                  <c:v>Avance Plan de acción Institucional a corte sept 15</c:v>
                </c:pt>
                <c:pt idx="1">
                  <c:v>Avance Plan de Desarrollo al Cuatrienio</c:v>
                </c:pt>
                <c:pt idx="2">
                  <c:v>Ejecución Proyectos IDER a sept 15</c:v>
                </c:pt>
                <c:pt idx="3">
                  <c:v>Ejecución Presupuestal Según Compromisos </c:v>
                </c:pt>
                <c:pt idx="4">
                  <c:v>Ejecución Presupuestal Según Obligaciones </c:v>
                </c:pt>
              </c:strCache>
            </c:strRef>
          </c:cat>
          <c:val>
            <c:numRef>
              <c:f>Hoja1!$C$3:$C$7</c:f>
              <c:numCache>
                <c:formatCode>0.00%</c:formatCode>
                <c:ptCount val="5"/>
                <c:pt idx="0">
                  <c:v>0.69310000000000005</c:v>
                </c:pt>
                <c:pt idx="1">
                  <c:v>0.43099999999999999</c:v>
                </c:pt>
                <c:pt idx="2">
                  <c:v>0.67379999999999995</c:v>
                </c:pt>
                <c:pt idx="3">
                  <c:v>0.72070000000000001</c:v>
                </c:pt>
                <c:pt idx="4">
                  <c:v>0.72070000000000001</c:v>
                </c:pt>
              </c:numCache>
            </c:numRef>
          </c:val>
          <c:extLst>
            <c:ext xmlns:c16="http://schemas.microsoft.com/office/drawing/2014/chart" uri="{C3380CC4-5D6E-409C-BE32-E72D297353CC}">
              <c16:uniqueId val="{00000000-3253-48B4-9C73-8BB817AC61A8}"/>
            </c:ext>
          </c:extLst>
        </c:ser>
        <c:dLbls>
          <c:showLegendKey val="0"/>
          <c:showVal val="0"/>
          <c:showCatName val="0"/>
          <c:showSerName val="0"/>
          <c:showPercent val="0"/>
          <c:showBubbleSize val="0"/>
        </c:dLbls>
        <c:gapWidth val="219"/>
        <c:overlap val="-27"/>
        <c:axId val="151429944"/>
        <c:axId val="381906112"/>
      </c:barChart>
      <c:catAx>
        <c:axId val="151429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906112"/>
        <c:crosses val="autoZero"/>
        <c:auto val="1"/>
        <c:lblAlgn val="ctr"/>
        <c:lblOffset val="100"/>
        <c:noMultiLvlLbl val="0"/>
      </c:catAx>
      <c:valAx>
        <c:axId val="381906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1429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Ejecucion presupestal por compromiso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01-FFC6-4DC2-8523-348D94C94DA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Hoja1!$D$34:$D$35</c:f>
              <c:strCache>
                <c:ptCount val="2"/>
                <c:pt idx="0">
                  <c:v>Apropiacion Vigente</c:v>
                </c:pt>
                <c:pt idx="1">
                  <c:v>Ejecucion por compromisos</c:v>
                </c:pt>
              </c:strCache>
            </c:strRef>
          </c:cat>
          <c:val>
            <c:numRef>
              <c:f>Hoja1!$E$34:$E$35</c:f>
              <c:numCache>
                <c:formatCode>_("$"* #,##0.00_);_("$"* \(#,##0.00\);_("$"* "-"??_);_(@_)</c:formatCode>
                <c:ptCount val="2"/>
                <c:pt idx="0">
                  <c:v>73203606580.339996</c:v>
                </c:pt>
                <c:pt idx="1">
                  <c:v>52756658731.880005</c:v>
                </c:pt>
              </c:numCache>
            </c:numRef>
          </c:val>
          <c:extLst>
            <c:ext xmlns:c16="http://schemas.microsoft.com/office/drawing/2014/chart" uri="{C3380CC4-5D6E-409C-BE32-E72D297353CC}">
              <c16:uniqueId val="{00000000-FFC6-4DC2-8523-348D94C94DA0}"/>
            </c:ext>
          </c:extLst>
        </c:ser>
        <c:dLbls>
          <c:showLegendKey val="0"/>
          <c:showVal val="0"/>
          <c:showCatName val="0"/>
          <c:showSerName val="0"/>
          <c:showPercent val="0"/>
          <c:showBubbleSize val="0"/>
        </c:dLbls>
        <c:gapWidth val="219"/>
        <c:overlap val="-27"/>
        <c:axId val="383234896"/>
        <c:axId val="383864264"/>
      </c:barChart>
      <c:catAx>
        <c:axId val="38323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3864264"/>
        <c:crosses val="autoZero"/>
        <c:auto val="1"/>
        <c:lblAlgn val="ctr"/>
        <c:lblOffset val="100"/>
        <c:noMultiLvlLbl val="0"/>
      </c:catAx>
      <c:valAx>
        <c:axId val="38386426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3234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Rresultados comparativos junio vs septiembre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Hoja1!$E$44</c:f>
              <c:strCache>
                <c:ptCount val="1"/>
                <c:pt idx="0">
                  <c:v>Avance junio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Hoja1!$D$45:$D$49</c:f>
              <c:strCache>
                <c:ptCount val="5"/>
                <c:pt idx="0">
                  <c:v>Plan de accion institucional </c:v>
                </c:pt>
                <c:pt idx="1">
                  <c:v>Ejecución de Proyectos</c:v>
                </c:pt>
                <c:pt idx="2">
                  <c:v>Ejecución Presupuestal por Compromisos</c:v>
                </c:pt>
                <c:pt idx="3">
                  <c:v>Ejecución Presupuestal por Obligaciones</c:v>
                </c:pt>
                <c:pt idx="4">
                  <c:v>Plan de Desarrollo al Cuatrienio</c:v>
                </c:pt>
              </c:strCache>
            </c:strRef>
          </c:cat>
          <c:val>
            <c:numRef>
              <c:f>Hoja1!$E$45:$E$49</c:f>
              <c:numCache>
                <c:formatCode>0.0%</c:formatCode>
                <c:ptCount val="5"/>
                <c:pt idx="0">
                  <c:v>0.58099999999999996</c:v>
                </c:pt>
                <c:pt idx="1">
                  <c:v>0.59360000000000002</c:v>
                </c:pt>
                <c:pt idx="2">
                  <c:v>0.46899999999999997</c:v>
                </c:pt>
                <c:pt idx="3">
                  <c:v>0.33900000000000002</c:v>
                </c:pt>
                <c:pt idx="4">
                  <c:v>0.41539999999999999</c:v>
                </c:pt>
              </c:numCache>
            </c:numRef>
          </c:val>
          <c:extLst>
            <c:ext xmlns:c16="http://schemas.microsoft.com/office/drawing/2014/chart" uri="{C3380CC4-5D6E-409C-BE32-E72D297353CC}">
              <c16:uniqueId val="{00000000-3568-4627-AB49-5F73ADD1C712}"/>
            </c:ext>
          </c:extLst>
        </c:ser>
        <c:ser>
          <c:idx val="1"/>
          <c:order val="1"/>
          <c:tx>
            <c:strRef>
              <c:f>Hoja1!$F$44</c:f>
              <c:strCache>
                <c:ptCount val="1"/>
                <c:pt idx="0">
                  <c:v>Avance Sept 15</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Hoja1!$D$45:$D$49</c:f>
              <c:strCache>
                <c:ptCount val="5"/>
                <c:pt idx="0">
                  <c:v>Plan de accion institucional </c:v>
                </c:pt>
                <c:pt idx="1">
                  <c:v>Ejecución de Proyectos</c:v>
                </c:pt>
                <c:pt idx="2">
                  <c:v>Ejecución Presupuestal por Compromisos</c:v>
                </c:pt>
                <c:pt idx="3">
                  <c:v>Ejecución Presupuestal por Obligaciones</c:v>
                </c:pt>
                <c:pt idx="4">
                  <c:v>Plan de Desarrollo al Cuatrienio</c:v>
                </c:pt>
              </c:strCache>
            </c:strRef>
          </c:cat>
          <c:val>
            <c:numRef>
              <c:f>Hoja1!$F$45:$F$49</c:f>
              <c:numCache>
                <c:formatCode>0.00%</c:formatCode>
                <c:ptCount val="5"/>
                <c:pt idx="0">
                  <c:v>0.69310000000000005</c:v>
                </c:pt>
                <c:pt idx="1">
                  <c:v>0.67379999999999995</c:v>
                </c:pt>
                <c:pt idx="2">
                  <c:v>0.72070000000000001</c:v>
                </c:pt>
                <c:pt idx="3">
                  <c:v>0.72070000000000001</c:v>
                </c:pt>
                <c:pt idx="4">
                  <c:v>0.72070000000000001</c:v>
                </c:pt>
              </c:numCache>
            </c:numRef>
          </c:val>
          <c:extLst>
            <c:ext xmlns:c16="http://schemas.microsoft.com/office/drawing/2014/chart" uri="{C3380CC4-5D6E-409C-BE32-E72D297353CC}">
              <c16:uniqueId val="{00000001-3568-4627-AB49-5F73ADD1C712}"/>
            </c:ext>
          </c:extLst>
        </c:ser>
        <c:dLbls>
          <c:showLegendKey val="0"/>
          <c:showVal val="0"/>
          <c:showCatName val="0"/>
          <c:showSerName val="0"/>
          <c:showPercent val="0"/>
          <c:showBubbleSize val="0"/>
        </c:dLbls>
        <c:gapWidth val="219"/>
        <c:overlap val="-27"/>
        <c:axId val="448235968"/>
        <c:axId val="448236352"/>
      </c:barChart>
      <c:catAx>
        <c:axId val="44823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8236352"/>
        <c:crosses val="autoZero"/>
        <c:auto val="1"/>
        <c:lblAlgn val="ctr"/>
        <c:lblOffset val="100"/>
        <c:noMultiLvlLbl val="0"/>
      </c:catAx>
      <c:valAx>
        <c:axId val="448236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8235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7D297C64-800F-4994-AFE4-C6959243F2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3" name="Imagen 2">
          <a:extLst>
            <a:ext uri="{FF2B5EF4-FFF2-40B4-BE49-F238E27FC236}">
              <a16:creationId xmlns:a16="http://schemas.microsoft.com/office/drawing/2014/main" id="{4CFEB8CE-F2AE-4938-8C00-4082C020A0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4" name="Imagen 3">
          <a:extLst>
            <a:ext uri="{FF2B5EF4-FFF2-40B4-BE49-F238E27FC236}">
              <a16:creationId xmlns:a16="http://schemas.microsoft.com/office/drawing/2014/main" id="{34AC75B7-9417-4528-B660-845F8135B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5" name="Imagen 4">
          <a:extLst>
            <a:ext uri="{FF2B5EF4-FFF2-40B4-BE49-F238E27FC236}">
              <a16:creationId xmlns:a16="http://schemas.microsoft.com/office/drawing/2014/main" id="{899342A2-5E76-4BFD-902F-3E5326359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180975</xdr:colOff>
      <xdr:row>3</xdr:row>
      <xdr:rowOff>471487</xdr:rowOff>
    </xdr:from>
    <xdr:to>
      <xdr:col>11</xdr:col>
      <xdr:colOff>180975</xdr:colOff>
      <xdr:row>8</xdr:row>
      <xdr:rowOff>71437</xdr:rowOff>
    </xdr:to>
    <xdr:graphicFrame macro="">
      <xdr:nvGraphicFramePr>
        <xdr:cNvPr id="2" name="Gráfico 1">
          <a:extLst>
            <a:ext uri="{FF2B5EF4-FFF2-40B4-BE49-F238E27FC236}">
              <a16:creationId xmlns:a16="http://schemas.microsoft.com/office/drawing/2014/main" id="{1C1A4D33-E7A9-2484-D506-ED755DCC54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57149</xdr:colOff>
      <xdr:row>29</xdr:row>
      <xdr:rowOff>23812</xdr:rowOff>
    </xdr:from>
    <xdr:to>
      <xdr:col>14</xdr:col>
      <xdr:colOff>638174</xdr:colOff>
      <xdr:row>38</xdr:row>
      <xdr:rowOff>100012</xdr:rowOff>
    </xdr:to>
    <xdr:graphicFrame macro="">
      <xdr:nvGraphicFramePr>
        <xdr:cNvPr id="3" name="Gráfico 2">
          <a:extLst>
            <a:ext uri="{FF2B5EF4-FFF2-40B4-BE49-F238E27FC236}">
              <a16:creationId xmlns:a16="http://schemas.microsoft.com/office/drawing/2014/main" id="{68651575-6708-0306-E6EB-B8A6E8D435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323850</xdr:colOff>
      <xdr:row>40</xdr:row>
      <xdr:rowOff>119062</xdr:rowOff>
    </xdr:from>
    <xdr:to>
      <xdr:col>13</xdr:col>
      <xdr:colOff>323850</xdr:colOff>
      <xdr:row>50</xdr:row>
      <xdr:rowOff>128587</xdr:rowOff>
    </xdr:to>
    <xdr:graphicFrame macro="">
      <xdr:nvGraphicFramePr>
        <xdr:cNvPr id="4" name="Gráfico 3">
          <a:extLst>
            <a:ext uri="{FF2B5EF4-FFF2-40B4-BE49-F238E27FC236}">
              <a16:creationId xmlns:a16="http://schemas.microsoft.com/office/drawing/2014/main" id="{073B6420-4108-207B-1E22-F82883B97A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1027884</xdr:colOff>
      <xdr:row>0</xdr:row>
      <xdr:rowOff>0</xdr:rowOff>
    </xdr:from>
    <xdr:ext cx="1555295" cy="742141"/>
    <xdr:pic>
      <xdr:nvPicPr>
        <xdr:cNvPr id="2" name="Imagen 1">
          <a:extLst>
            <a:ext uri="{FF2B5EF4-FFF2-40B4-BE49-F238E27FC236}">
              <a16:creationId xmlns:a16="http://schemas.microsoft.com/office/drawing/2014/main" id="{9A3F2603-216D-4F11-992D-1034066DA4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7884" y="0"/>
          <a:ext cx="1555295" cy="74214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D3456163-26E6-48DF-8BD2-04835EE3C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1035504</xdr:colOff>
      <xdr:row>0</xdr:row>
      <xdr:rowOff>0</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0</xdr:rowOff>
    </xdr:from>
    <xdr:ext cx="1374321" cy="1114425"/>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4" name="Imagen 3">
          <a:extLst>
            <a:ext uri="{FF2B5EF4-FFF2-40B4-BE49-F238E27FC236}">
              <a16:creationId xmlns:a16="http://schemas.microsoft.com/office/drawing/2014/main" id="{27CB631E-E726-4EF7-AEC9-B629F96AB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5" name="Imagen 4">
          <a:extLst>
            <a:ext uri="{FF2B5EF4-FFF2-40B4-BE49-F238E27FC236}">
              <a16:creationId xmlns:a16="http://schemas.microsoft.com/office/drawing/2014/main" id="{F961B610-DFCD-405C-9E67-F303BE22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998CE4AA-9599-4EA8-ACD1-82F78D74B0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779139&amp;isFromPublicArea=True&amp;isModal=true&amp;asPopupView=true" TargetMode="External"/><Relationship Id="rId21" Type="http://schemas.openxmlformats.org/officeDocument/2006/relationships/hyperlink" Target="https://community.secop.gov.co/Public/Tendering/OpportunityDetail/Index?noticeUID=CO1.NTC.7720675&amp;isFromPublicArea=True&amp;isModal=true&amp;asPopupView=true" TargetMode="External"/><Relationship Id="rId42" Type="http://schemas.openxmlformats.org/officeDocument/2006/relationships/hyperlink" Target="https://community.secop.gov.co/Public/Tendering/OpportunityDetail/Index?noticeUID=CO1.NTC.7602809&amp;isFromPublicArea=True&amp;isModal=true&amp;asPopupView=true" TargetMode="External"/><Relationship Id="rId47" Type="http://schemas.openxmlformats.org/officeDocument/2006/relationships/hyperlink" Target="https://community.secop.gov.co/Public/Tendering/OpportunityDetail/Index?noticeUID=CO1.NTC.7423801&amp;isFromPublicArea=True&amp;isModal=true&amp;asPopupView=true" TargetMode="External"/><Relationship Id="rId63" Type="http://schemas.openxmlformats.org/officeDocument/2006/relationships/hyperlink" Target="https://community.secop.gov.co/Public/Tendering/OpportunityDetail/Index?noticeUID=CO1.NTC.7456808&amp;isFromPublicArea=True&amp;isModal=true&amp;asPopupView=true" TargetMode="External"/><Relationship Id="rId68" Type="http://schemas.openxmlformats.org/officeDocument/2006/relationships/hyperlink" Target="https://community.secop.gov.co/Public/Tendering/OpportunityDetail/Index?noticeUID=CO1.NTC.7629313&amp;isFromPublicArea=True&amp;isModal=true&amp;asPopupView=true" TargetMode="External"/><Relationship Id="rId16" Type="http://schemas.openxmlformats.org/officeDocument/2006/relationships/hyperlink" Target="https://community.secop.gov.co/Public/Tendering/OpportunityDetail/Index?noticeUID=CO1.NTC.7819911&amp;isFromPublicArea=True&amp;isModal=true&amp;asPopupView=true" TargetMode="External"/><Relationship Id="rId11" Type="http://schemas.openxmlformats.org/officeDocument/2006/relationships/hyperlink" Target="https://community.secop.gov.co/Public/Tendering/OpportunityDetail/Index?noticeUID=CO1.NTC.7911166&amp;isFromPublicArea=True&amp;isModal=true&amp;asPopupView=true" TargetMode="External"/><Relationship Id="rId32" Type="http://schemas.openxmlformats.org/officeDocument/2006/relationships/hyperlink" Target="https://community.secop.gov.co/Public/Tendering/OpportunityDetail/Index?noticeUID=CO1.NTC.7834834&amp;isFromPublicArea=True&amp;isModal=true&amp;asPopupView=true" TargetMode="External"/><Relationship Id="rId37" Type="http://schemas.openxmlformats.org/officeDocument/2006/relationships/hyperlink" Target="https://community.secop.gov.co/Public/Tendering/OpportunityDetail/Index?noticeUID=CO1.NTC.7864819&amp;isFromPublicArea=True&amp;isModal=true&amp;asPopupView=true" TargetMode="External"/><Relationship Id="rId53" Type="http://schemas.openxmlformats.org/officeDocument/2006/relationships/hyperlink" Target="https://community.secop.gov.co/Public/Tendering/OpportunityDetail/Index?noticeUID=CO1.NTC.7439694&amp;isFromPublicArea=True&amp;isModal=true&amp;asPopupView=true" TargetMode="External"/><Relationship Id="rId58" Type="http://schemas.openxmlformats.org/officeDocument/2006/relationships/hyperlink" Target="https://community.secop.gov.co/Public/Tendering/OpportunityDetail/Index?noticeUID=CO1.NTC.7439136&amp;isFromPublicArea=True&amp;isModal=true&amp;asPopupView=true" TargetMode="External"/><Relationship Id="rId74" Type="http://schemas.openxmlformats.org/officeDocument/2006/relationships/hyperlink" Target="https://community.secop.gov.co/Public/Tendering/OpportunityDetail/Index?noticeUID=CO1.NTC.7934320&amp;isFromPublicArea=True&amp;isModal=true&amp;asPopupView=true" TargetMode="External"/><Relationship Id="rId79" Type="http://schemas.openxmlformats.org/officeDocument/2006/relationships/printerSettings" Target="../printerSettings/printerSettings3.bin"/><Relationship Id="rId5" Type="http://schemas.openxmlformats.org/officeDocument/2006/relationships/hyperlink" Target="https://community.secop.gov.co/Public/Tendering/OpportunityDetail/Index?noticeUID=CO1.NTC.7837720&amp;isFromPublicArea=True&amp;isModal=true&amp;asPopupView=true" TargetMode="External"/><Relationship Id="rId61" Type="http://schemas.openxmlformats.org/officeDocument/2006/relationships/hyperlink" Target="https://community.secop.gov.co/Public/Tendering/OpportunityDetail/Index?noticeUID=CO1.NTC.7455516&amp;isFromPublicArea=True&amp;isModal=true&amp;asPopupView=true" TargetMode="External"/><Relationship Id="rId82" Type="http://schemas.openxmlformats.org/officeDocument/2006/relationships/comments" Target="../comments2.xml"/><Relationship Id="rId19" Type="http://schemas.openxmlformats.org/officeDocument/2006/relationships/hyperlink" Target="https://community.secop.gov.co/Public/Tendering/OpportunityDetail/Index?noticeUID=CO1.NTC.7569536&amp;isFromPublicArea=True&amp;isModal=true&amp;asPopupView=true" TargetMode="External"/><Relationship Id="rId14" Type="http://schemas.openxmlformats.org/officeDocument/2006/relationships/hyperlink" Target="https://community.secop.gov.co/Public/Tendering/OpportunityDetail/Index?noticeUID=CO1.NTC.7681685&amp;isFromPublicArea=True&amp;isModal=true&amp;asPopupView=true" TargetMode="External"/><Relationship Id="rId22" Type="http://schemas.openxmlformats.org/officeDocument/2006/relationships/hyperlink" Target="https://community.secop.gov.co/Public/Tendering/OpportunityDetail/Index?noticeUID=CO1.NTC.7720675&amp;isFromPublicArea=True&amp;isModal=true&amp;asPopupView=true" TargetMode="External"/><Relationship Id="rId27" Type="http://schemas.openxmlformats.org/officeDocument/2006/relationships/hyperlink" Target="https://community.secop.gov.co/Public/Tendering/OpportunityDetail/Index?noticeUID=CO1.NTC.7806231&amp;isFromPublicArea=True&amp;isModal=true&amp;asPopupView=true" TargetMode="External"/><Relationship Id="rId30" Type="http://schemas.openxmlformats.org/officeDocument/2006/relationships/hyperlink" Target="https://community.secop.gov.co/Public/Tendering/OpportunityDetail/Index?noticeUID=CO1.NTC.7856222&amp;isFromPublicArea=True&amp;isModal=true&amp;asPopupView=true" TargetMode="External"/><Relationship Id="rId35" Type="http://schemas.openxmlformats.org/officeDocument/2006/relationships/hyperlink" Target="https://community.secop.gov.co/Public/Tendering/OpportunityDetail/Index?noticeUID=CO1.NTC.7744533&amp;isFromPublicArea=True&amp;isModal=true&amp;asPopupView=true" TargetMode="External"/><Relationship Id="rId43" Type="http://schemas.openxmlformats.org/officeDocument/2006/relationships/hyperlink" Target="https://community.secop.gov.co/Public/Tendering/OpportunityDetail/Index?noticeUID=CO1.NTC.7765391&amp;isFromPublicArea=True&amp;isModal=true&amp;asPopupView=true" TargetMode="External"/><Relationship Id="rId48" Type="http://schemas.openxmlformats.org/officeDocument/2006/relationships/hyperlink" Target="https://community.secop.gov.co/Public/Tendering/OpportunityDetail/Index?noticeUID=CO1.NTC.7429755&amp;isFromPublicArea=True&amp;isModal=true&amp;asPopupView=true" TargetMode="External"/><Relationship Id="rId56" Type="http://schemas.openxmlformats.org/officeDocument/2006/relationships/hyperlink" Target="https://community.secop.gov.co/Public/Tendering/OpportunityDetail/Index?noticeUID=CO1.NTC.7455244&amp;isFromPublicArea=True&amp;isModal=true&amp;asPopupView=true" TargetMode="External"/><Relationship Id="rId64" Type="http://schemas.openxmlformats.org/officeDocument/2006/relationships/hyperlink" Target="https://community.secop.gov.co/Public/Tendering/OpportunityDetail/Index?noticeUID=CO1.NTC.7456846&amp;isFromPublicArea=True&amp;isModal=true&amp;asPopupView=true" TargetMode="External"/><Relationship Id="rId69" Type="http://schemas.openxmlformats.org/officeDocument/2006/relationships/hyperlink" Target="https://community.secop.gov.co/Public/Tendering/OpportunityDetail/Index?noticeUID=CO1.NTC.7629313&amp;isFromPublicArea=True&amp;isModal=true&amp;asPopupView=true" TargetMode="External"/><Relationship Id="rId77" Type="http://schemas.openxmlformats.org/officeDocument/2006/relationships/hyperlink" Target="https://community.secop.gov.co/Public/Tendering/OpportunityDetail/Index?noticeUID=CO1.NTC.7779256&amp;isFromPublicArea=True&amp;isModal=true&amp;asPopupView=true" TargetMode="External"/><Relationship Id="rId8" Type="http://schemas.openxmlformats.org/officeDocument/2006/relationships/hyperlink" Target="https://community.secop.gov.co/Public/Tendering/OpportunityDetail/Index?noticeUID=CO1.NTC.7771839&amp;isFromPublicArea=True&amp;isModal=true&amp;asPopupView=true" TargetMode="External"/><Relationship Id="rId51" Type="http://schemas.openxmlformats.org/officeDocument/2006/relationships/hyperlink" Target="https://community.secop.gov.co/Public/Tendering/OpportunityDetail/Index?noticeUID=CO1.NTC.7433131&amp;isFromPublicArea=True&amp;isModal=true&amp;asPopupView=true" TargetMode="External"/><Relationship Id="rId72" Type="http://schemas.openxmlformats.org/officeDocument/2006/relationships/hyperlink" Target="https://community.secop.gov.co/Public/Tendering/OpportunityDetail/Index?noticeUID=CO1.NTC.7934320&amp;isFromPublicArea=True&amp;isModal=true&amp;asPopupView=true" TargetMode="External"/><Relationship Id="rId80" Type="http://schemas.openxmlformats.org/officeDocument/2006/relationships/drawing" Target="../drawings/drawing4.xml"/><Relationship Id="rId3" Type="http://schemas.openxmlformats.org/officeDocument/2006/relationships/hyperlink" Target="https://community.secop.gov.co/Public/Tendering/OpportunityDetail/Index?noticeUID=CO1.NTC.7572789&amp;isFromPublicArea=True&amp;isModal=true&amp;asPopupView=true" TargetMode="External"/><Relationship Id="rId12" Type="http://schemas.openxmlformats.org/officeDocument/2006/relationships/hyperlink" Target="https://community.secop.gov.co/Public/Tendering/OpportunityDetail/Index?noticeUID=CO1.NTC.8011822&amp;isFromPublicArea=True&amp;isModal=true&amp;asPopupView=true" TargetMode="External"/><Relationship Id="rId17" Type="http://schemas.openxmlformats.org/officeDocument/2006/relationships/hyperlink" Target="https://community.secop.gov.co/Public/Tendering/OpportunityDetail/Index?noticeUID=CO1.NTC.7896836&amp;isFromPublicArea=True&amp;isModal=true&amp;asPopupView=true" TargetMode="External"/><Relationship Id="rId25" Type="http://schemas.openxmlformats.org/officeDocument/2006/relationships/hyperlink" Target="https://community.secop.gov.co/Public/Tendering/OpportunityDetail/Index?noticeUID=CO1.NTC.7854563&amp;isFromPublicArea=True&amp;isModal=true&amp;asPopupView=true" TargetMode="External"/><Relationship Id="rId33" Type="http://schemas.openxmlformats.org/officeDocument/2006/relationships/hyperlink" Target="https://community.secop.gov.co/Public/Tendering/OpportunityDetail/Index?noticeUID=CO1.NTC.7779256&amp;isFromPublicArea=True&amp;isModal=true&amp;asPopupView=true" TargetMode="External"/><Relationship Id="rId38" Type="http://schemas.openxmlformats.org/officeDocument/2006/relationships/hyperlink" Target="https://community.secop.gov.co/Public/Tendering/OpportunityDetail/Index?noticeUID=CO1.NTC.7854412&amp;isFromPublicArea=True&amp;isModal=true&amp;asPopupView=true" TargetMode="External"/><Relationship Id="rId46" Type="http://schemas.openxmlformats.org/officeDocument/2006/relationships/hyperlink" Target="https://community.secop.gov.co/Public/Tendering/OpportunityDetail/Index?noticeUID=CO1.NTC.7834124&amp;isFromPublicArea=True&amp;isModal=true&amp;asPopupView=true" TargetMode="External"/><Relationship Id="rId59" Type="http://schemas.openxmlformats.org/officeDocument/2006/relationships/hyperlink" Target="https://community.secop.gov.co/Public/Tendering/OpportunityDetail/Index?noticeUID=CO1.NTC.7439601&amp;isFromPublicArea=True&amp;isModal=true&amp;asPopupView=true" TargetMode="External"/><Relationship Id="rId67" Type="http://schemas.openxmlformats.org/officeDocument/2006/relationships/hyperlink" Target="https://community.secop.gov.co/Public/Tendering/OpportunityDetail/Index?noticeUID=CO1.NTC.7629313&amp;isFromPublicArea=True&amp;isModal=true&amp;asPopupView=true" TargetMode="External"/><Relationship Id="rId20" Type="http://schemas.openxmlformats.org/officeDocument/2006/relationships/hyperlink" Target="https://community.secop.gov.co/Public/Tendering/OpportunityDetail/Index?noticeUID=CO1.NTC.7569689&amp;isFromPublicArea=True&amp;isModal=true&amp;asPopupView=true" TargetMode="External"/><Relationship Id="rId41" Type="http://schemas.openxmlformats.org/officeDocument/2006/relationships/hyperlink" Target="https://community.secop.gov.co/Public/Tendering/OpportunityDetail/Index?noticeUID=CO1.NTC.7934320&amp;isFromPublicArea=True&amp;isModal=true&amp;asPopupView=true" TargetMode="External"/><Relationship Id="rId54" Type="http://schemas.openxmlformats.org/officeDocument/2006/relationships/hyperlink" Target="https://community.secop.gov.co/Public/Tendering/OpportunityDetail/Index?noticeUID=CO1.NTC.7454765&amp;isFromPublicArea=True&amp;isModal=true&amp;asPopupView=true" TargetMode="External"/><Relationship Id="rId62" Type="http://schemas.openxmlformats.org/officeDocument/2006/relationships/hyperlink" Target="https://community.secop.gov.co/Public/Tendering/OpportunityDetail/Index?noticeUID=CO1.NTC.7455662&amp;isFromPublicArea=True&amp;isModal=true&amp;asPopupView=true" TargetMode="External"/><Relationship Id="rId70" Type="http://schemas.openxmlformats.org/officeDocument/2006/relationships/hyperlink" Target="https://community.secop.gov.co/Public/Tendering/OpportunityDetail/Index?noticeUID=CO1.NTC.7629313&amp;isFromPublicArea=True&amp;isModal=true&amp;asPopupView=true" TargetMode="External"/><Relationship Id="rId75" Type="http://schemas.openxmlformats.org/officeDocument/2006/relationships/hyperlink" Target="https://community.secop.gov.co/Public/Tendering/OpportunityDetail/Index?noticeUID=CO1.NTC.7934320&amp;isFromPublicArea=True&amp;isModal=true&amp;asPopupView=true" TargetMode="External"/><Relationship Id="rId1" Type="http://schemas.openxmlformats.org/officeDocument/2006/relationships/hyperlink" Target="https://community.secop.gov.co/Public/Tendering/OpportunityDetail/Index?noticeUID=CO1.NTC.7595948&amp;isFromPublicArea=True&amp;isModal=true&amp;asPopupView=true" TargetMode="External"/><Relationship Id="rId6" Type="http://schemas.openxmlformats.org/officeDocument/2006/relationships/hyperlink" Target="https://community.secop.gov.co/Public/Tendering/OpportunityDetail/Index?noticeUID=CO1.NTC.7677913&amp;isFromPublicArea=True&amp;isModal=true&amp;asPopupView=true" TargetMode="External"/><Relationship Id="rId15" Type="http://schemas.openxmlformats.org/officeDocument/2006/relationships/hyperlink" Target="https://community.secop.gov.co/Public/Tendering/OpportunityDetail/Index?noticeUID=CO1.NTC.7415554&amp;isFromPublicArea=True&amp;isModal=true&amp;asPopupView=true" TargetMode="External"/><Relationship Id="rId23" Type="http://schemas.openxmlformats.org/officeDocument/2006/relationships/hyperlink" Target="https://community.secop.gov.co/Public/Tendering/OpportunityDetail/Index?noticeUID=CO1.NTC.7602955&amp;isFromPublicArea=True&amp;isModal=true&amp;asPopupView=true" TargetMode="External"/><Relationship Id="rId28" Type="http://schemas.openxmlformats.org/officeDocument/2006/relationships/hyperlink" Target="https://community.secop.gov.co/Public/Tendering/OpportunityDetail/Index?noticeUID=CO1.NTC.7829976&amp;isFromPublicArea=True&amp;isModal=true&amp;asPopupView=true" TargetMode="External"/><Relationship Id="rId36" Type="http://schemas.openxmlformats.org/officeDocument/2006/relationships/hyperlink" Target="https://community.secop.gov.co/Public/Tendering/OpportunityDetail/Index?noticeUID=CO1.NTC.7754226&amp;isFromPublicArea=True&amp;isModal=true&amp;asPopupView=true" TargetMode="External"/><Relationship Id="rId49" Type="http://schemas.openxmlformats.org/officeDocument/2006/relationships/hyperlink" Target="https://community.secop.gov.co/Public/Tendering/OpportunityDetail/Index?noticeUID=CO1.NTC.8086171&amp;isFromPublicArea=True&amp;isModal=true&amp;asPopupView=true" TargetMode="External"/><Relationship Id="rId57" Type="http://schemas.openxmlformats.org/officeDocument/2006/relationships/hyperlink" Target="https://community.secop.gov.co/Public/Tendering/OpportunityDetail/Index?noticeUID=CO1.NTC.8086171&amp;isFromPublicArea=True&amp;isModal=true&amp;asPopupView=true" TargetMode="External"/><Relationship Id="rId10" Type="http://schemas.openxmlformats.org/officeDocument/2006/relationships/hyperlink" Target="https://community.secop.gov.co/Public/Tendering/OpportunityDetail/Index?noticeUID=CO1.NTC.7778370&amp;isFromPublicArea=True&amp;isModal=true&amp;asPopupView=true" TargetMode="External"/><Relationship Id="rId31" Type="http://schemas.openxmlformats.org/officeDocument/2006/relationships/hyperlink" Target="https://community.secop.gov.co/Public/Tendering/OpportunityDetail/Index?noticeUID=CO1.NTC.7714588&amp;isFromPublicArea=True&amp;isModal=true&amp;asPopupView=true" TargetMode="External"/><Relationship Id="rId44" Type="http://schemas.openxmlformats.org/officeDocument/2006/relationships/hyperlink" Target="https://community.secop.gov.co/Public/Tendering/OpportunityDetail/Index?noticeUID=CO1.NTC.7765569&amp;isFromPublicArea=True&amp;isModal=true&amp;asPopupView=true" TargetMode="External"/><Relationship Id="rId52" Type="http://schemas.openxmlformats.org/officeDocument/2006/relationships/hyperlink" Target="https://community.secop.gov.co/Public/Tendering/OpportunityDetail/Index?noticeUID=CO1.NTC.8086171&amp;isFromPublicArea=True&amp;isModal=true&amp;asPopupView=true" TargetMode="External"/><Relationship Id="rId60" Type="http://schemas.openxmlformats.org/officeDocument/2006/relationships/hyperlink" Target="https://community.secop.gov.co/Public/Tendering/OpportunityDetail/Index?noticeUID=CO1.NTC.8086171&amp;isFromPublicArea=True&amp;isModal=true&amp;asPopupView=true" TargetMode="External"/><Relationship Id="rId65" Type="http://schemas.openxmlformats.org/officeDocument/2006/relationships/hyperlink" Target="https://community.secop.gov.co/Public/Tendering/OpportunityDetail/Index?noticeUID=CO1.NTC.7861037&amp;isFromPublicArea=True&amp;isModal=true&amp;asPopupView=true" TargetMode="External"/><Relationship Id="rId73" Type="http://schemas.openxmlformats.org/officeDocument/2006/relationships/hyperlink" Target="https://community.secop.gov.co/Public/Tendering/OpportunityDetail/Index?noticeUID=CO1.NTC.7934320&amp;isFromPublicArea=True&amp;isModal=true&amp;asPopupView=true" TargetMode="External"/><Relationship Id="rId78" Type="http://schemas.openxmlformats.org/officeDocument/2006/relationships/hyperlink" Target="https://community.secop.gov.co/Public/Tendering/OpportunityDetail/Index?noticeUID=CO1.NTC.7856222&amp;isFromPublicArea=True&amp;isModal=true&amp;asPopupView=true" TargetMode="External"/><Relationship Id="rId81" Type="http://schemas.openxmlformats.org/officeDocument/2006/relationships/vmlDrawing" Target="../drawings/vmlDrawing2.vml"/><Relationship Id="rId4" Type="http://schemas.openxmlformats.org/officeDocument/2006/relationships/hyperlink" Target="https://community.secop.gov.co/Public/Tendering/OpportunityDetail/Index?noticeUID=CO1.NTC.7907791&amp;isFromPublicArea=True&amp;isModal=true&amp;asPopupView=true" TargetMode="External"/><Relationship Id="rId9" Type="http://schemas.openxmlformats.org/officeDocument/2006/relationships/hyperlink" Target="https://community.secop.gov.co/Public/Tendering/OpportunityDetail/Index?noticeUID=CO1.NTC.7905866&amp;isFromPublicArea=True&amp;isModal=true&amp;asPopupView=true" TargetMode="External"/><Relationship Id="rId13" Type="http://schemas.openxmlformats.org/officeDocument/2006/relationships/hyperlink" Target="https://community.secop.gov.co/Public/Tendering/OpportunityDetail/Index?noticeUID=CO1.NTC.8011810&amp;isFromPublicArea=True&amp;isModal=true&amp;asPopupView=true" TargetMode="External"/><Relationship Id="rId18" Type="http://schemas.openxmlformats.org/officeDocument/2006/relationships/hyperlink" Target="https://community.secop.gov.co/Public/Tendering/OpportunityDetail/Index?noticeUID=CO1.NTC.8045446&amp;isFromPublicArea=True&amp;isModal=true&amp;asPopupView=true" TargetMode="External"/><Relationship Id="rId39" Type="http://schemas.openxmlformats.org/officeDocument/2006/relationships/hyperlink" Target="https://community.secop.gov.co/Public/Tendering/OpportunityDetail/Index?noticeUID=CO1.NTC.7826289&amp;isFromPublicArea=True&amp;isModal=true&amp;asPopupView=true" TargetMode="External"/><Relationship Id="rId34" Type="http://schemas.openxmlformats.org/officeDocument/2006/relationships/hyperlink" Target="https://community.secop.gov.co/Public/Tendering/OpportunityDetail/Index?noticeUID=CO1.NTC.7763138&amp;isFromPublicArea=True&amp;isModal=true&amp;asPopupView=true" TargetMode="External"/><Relationship Id="rId50" Type="http://schemas.openxmlformats.org/officeDocument/2006/relationships/hyperlink" Target="https://community.secop.gov.co/Public/Tendering/OpportunityDetail/Index?noticeUID=CO1.NTC.7432495&amp;isFromPublicArea=True&amp;isModal=true&amp;asPopupView=true" TargetMode="External"/><Relationship Id="rId55" Type="http://schemas.openxmlformats.org/officeDocument/2006/relationships/hyperlink" Target="https://community.secop.gov.co/Public/Tendering/OpportunityDetail/Index?noticeUID=CO1.NTC.7455014&amp;isFromPublicArea=True&amp;isModal=true&amp;asPopupView=true" TargetMode="External"/><Relationship Id="rId76" Type="http://schemas.openxmlformats.org/officeDocument/2006/relationships/hyperlink" Target="https://community.secop.gov.co/Public/Tendering/OpportunityDetail/Index?noticeUID=CO1.NTC.7934320&amp;isFromPublicArea=True&amp;isModal=true&amp;asPopupView=true" TargetMode="External"/><Relationship Id="rId7" Type="http://schemas.openxmlformats.org/officeDocument/2006/relationships/hyperlink" Target="https://community.secop.gov.co/Public/Tendering/OpportunityDetail/Index?noticeUID=CO1.NTC.7758767&amp;isFromPublicArea=True&amp;isModal=true&amp;asPopupView=true" TargetMode="External"/><Relationship Id="rId71" Type="http://schemas.openxmlformats.org/officeDocument/2006/relationships/hyperlink" Target="https://community.secop.gov.co/Public/Tendering/OpportunityDetail/Index?noticeUID=CO1.NTC.7629313&amp;isFromPublicArea=True&amp;isModal=true&amp;asPopupView=true" TargetMode="External"/><Relationship Id="rId2" Type="http://schemas.openxmlformats.org/officeDocument/2006/relationships/hyperlink" Target="https://community.secop.gov.co/Public/Tendering/OpportunityDetail/Index?noticeUID=CO1.NTC.7599354&amp;isFromPublicArea=True&amp;isModal=true&amp;asPopupView=true" TargetMode="External"/><Relationship Id="rId29" Type="http://schemas.openxmlformats.org/officeDocument/2006/relationships/hyperlink" Target="https://community.secop.gov.co/Public/Tendering/OpportunityDetail/Index?noticeUID=CO1.NTC.7834124&amp;isFromPublicArea=True&amp;isModal=true&amp;asPopupView=true" TargetMode="External"/><Relationship Id="rId24" Type="http://schemas.openxmlformats.org/officeDocument/2006/relationships/hyperlink" Target="https://community.secop.gov.co/Public/Tendering/OpportunityDetail/Index?noticeUID=CO1.NTC.7728964&amp;isFromPublicArea=True&amp;isModal=true&amp;asPopupView=true" TargetMode="External"/><Relationship Id="rId40" Type="http://schemas.openxmlformats.org/officeDocument/2006/relationships/hyperlink" Target="https://community.secop.gov.co/Public/Tendering/OpportunityDetail/Index?noticeUID=CO1.NTC.7936674&amp;isFromPublicArea=True&amp;isModal=true&amp;asPopupView=true" TargetMode="External"/><Relationship Id="rId45" Type="http://schemas.openxmlformats.org/officeDocument/2006/relationships/hyperlink" Target="https://community.secop.gov.co/Public/Tendering/OpportunityDetail/Index?noticeUID=CO1.NTC.7819911&amp;isFromPublicArea=True&amp;isModal=true&amp;asPopupView=true" TargetMode="External"/><Relationship Id="rId66" Type="http://schemas.openxmlformats.org/officeDocument/2006/relationships/hyperlink" Target="https://community.secop.gov.co/Public/Tendering/OpportunityDetail/Index?noticeUID=CO1.NTC.7470998&amp;isFromPublicArea=True&amp;isModal=true&amp;asPopupView=tru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7" zoomScale="80" zoomScaleNormal="80" workbookViewId="0">
      <selection activeCell="A19" sqref="A19:H19"/>
    </sheetView>
  </sheetViews>
  <sheetFormatPr baseColWidth="10" defaultColWidth="10.88671875" defaultRowHeight="15"/>
  <cols>
    <col min="1" max="1" width="34.109375" style="13" customWidth="1"/>
    <col min="2" max="2" width="10.88671875" style="5"/>
    <col min="3" max="3" width="28.21875" style="5" customWidth="1"/>
    <col min="4" max="4" width="21.21875" style="5" customWidth="1"/>
    <col min="5" max="5" width="19.21875" style="5" customWidth="1"/>
    <col min="6" max="6" width="27.21875" style="5" customWidth="1"/>
    <col min="7" max="7" width="17.21875" style="5" customWidth="1"/>
    <col min="8" max="8" width="27.21875" style="5" customWidth="1"/>
    <col min="9" max="9" width="15.21875" style="5" customWidth="1"/>
    <col min="10" max="10" width="17.88671875" style="5" customWidth="1"/>
    <col min="11" max="11" width="19.21875" style="5" customWidth="1"/>
    <col min="12" max="12" width="25.21875" style="5" customWidth="1"/>
    <col min="13" max="13" width="20.77734375" style="5" customWidth="1"/>
    <col min="14" max="15" width="10.88671875" style="5"/>
    <col min="16" max="16" width="16.77734375" style="5" customWidth="1"/>
    <col min="17" max="17" width="20.21875" style="5" customWidth="1"/>
    <col min="18" max="18" width="18.77734375" style="5" customWidth="1"/>
    <col min="19" max="19" width="22.88671875" style="5" customWidth="1"/>
    <col min="20" max="20" width="22.109375" style="5" customWidth="1"/>
    <col min="21" max="21" width="25.21875" style="5" customWidth="1"/>
    <col min="22" max="22" width="21.109375" style="5" customWidth="1"/>
    <col min="23" max="23" width="19.109375" style="5" customWidth="1"/>
    <col min="24" max="24" width="17.21875" style="5" customWidth="1"/>
    <col min="25" max="26" width="16.21875" style="5" customWidth="1"/>
    <col min="27" max="27" width="28.77734375" style="5" customWidth="1"/>
    <col min="28" max="28" width="19.21875" style="5" customWidth="1"/>
    <col min="29" max="29" width="21.109375" style="5" customWidth="1"/>
    <col min="30" max="30" width="21.88671875" style="5" customWidth="1"/>
    <col min="31" max="31" width="25.21875" style="5" customWidth="1"/>
    <col min="32" max="32" width="22.21875" style="5" customWidth="1"/>
    <col min="33" max="33" width="29.77734375" style="5" customWidth="1"/>
    <col min="34" max="34" width="18.77734375" style="5" customWidth="1"/>
    <col min="35" max="35" width="18.21875" style="5" customWidth="1"/>
    <col min="36" max="36" width="22.21875" style="5" customWidth="1"/>
    <col min="37" max="16384" width="10.88671875" style="5"/>
  </cols>
  <sheetData>
    <row r="1" spans="1:50" ht="54.75" customHeight="1">
      <c r="A1" s="543" t="s">
        <v>137</v>
      </c>
      <c r="B1" s="543"/>
      <c r="C1" s="543"/>
      <c r="D1" s="543"/>
      <c r="E1" s="543"/>
      <c r="F1" s="543"/>
      <c r="G1" s="543"/>
      <c r="H1" s="543"/>
    </row>
    <row r="2" spans="1:50" ht="33" customHeight="1">
      <c r="A2" s="526" t="s">
        <v>155</v>
      </c>
      <c r="B2" s="526"/>
      <c r="C2" s="526"/>
      <c r="D2" s="526"/>
      <c r="E2" s="526"/>
      <c r="F2" s="526"/>
      <c r="G2" s="526"/>
      <c r="H2" s="526"/>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71</v>
      </c>
      <c r="B3" s="522" t="s">
        <v>84</v>
      </c>
      <c r="C3" s="522"/>
      <c r="D3" s="522"/>
      <c r="E3" s="522"/>
      <c r="F3" s="522"/>
      <c r="G3" s="522"/>
      <c r="H3" s="522"/>
    </row>
    <row r="4" spans="1:50" ht="48" customHeight="1">
      <c r="A4" s="9" t="s">
        <v>142</v>
      </c>
      <c r="B4" s="515" t="s">
        <v>161</v>
      </c>
      <c r="C4" s="516"/>
      <c r="D4" s="516"/>
      <c r="E4" s="516"/>
      <c r="F4" s="516"/>
      <c r="G4" s="516"/>
      <c r="H4" s="517"/>
    </row>
    <row r="5" spans="1:50" ht="31.5" customHeight="1">
      <c r="A5" s="9" t="s">
        <v>160</v>
      </c>
      <c r="B5" s="522" t="s">
        <v>85</v>
      </c>
      <c r="C5" s="522"/>
      <c r="D5" s="522"/>
      <c r="E5" s="522"/>
      <c r="F5" s="522"/>
      <c r="G5" s="522"/>
      <c r="H5" s="522"/>
    </row>
    <row r="6" spans="1:50" ht="40.5" customHeight="1">
      <c r="A6" s="9" t="s">
        <v>59</v>
      </c>
      <c r="B6" s="515" t="s">
        <v>86</v>
      </c>
      <c r="C6" s="516"/>
      <c r="D6" s="516"/>
      <c r="E6" s="516"/>
      <c r="F6" s="516"/>
      <c r="G6" s="516"/>
      <c r="H6" s="517"/>
    </row>
    <row r="7" spans="1:50" ht="41.1" customHeight="1">
      <c r="A7" s="9" t="s">
        <v>77</v>
      </c>
      <c r="B7" s="522" t="s">
        <v>87</v>
      </c>
      <c r="C7" s="522"/>
      <c r="D7" s="522"/>
      <c r="E7" s="522"/>
      <c r="F7" s="522"/>
      <c r="G7" s="522"/>
      <c r="H7" s="522"/>
    </row>
    <row r="8" spans="1:50" ht="48.9" customHeight="1">
      <c r="A8" s="9" t="s">
        <v>32</v>
      </c>
      <c r="B8" s="522" t="s">
        <v>167</v>
      </c>
      <c r="C8" s="522"/>
      <c r="D8" s="522"/>
      <c r="E8" s="522"/>
      <c r="F8" s="522"/>
      <c r="G8" s="522"/>
      <c r="H8" s="522"/>
    </row>
    <row r="9" spans="1:50" ht="48.9" customHeight="1">
      <c r="A9" s="9" t="s">
        <v>168</v>
      </c>
      <c r="B9" s="515" t="s">
        <v>169</v>
      </c>
      <c r="C9" s="516"/>
      <c r="D9" s="516"/>
      <c r="E9" s="516"/>
      <c r="F9" s="516"/>
      <c r="G9" s="516"/>
      <c r="H9" s="517"/>
    </row>
    <row r="10" spans="1:50" ht="30">
      <c r="A10" s="9" t="s">
        <v>33</v>
      </c>
      <c r="B10" s="522" t="s">
        <v>88</v>
      </c>
      <c r="C10" s="522"/>
      <c r="D10" s="522"/>
      <c r="E10" s="522"/>
      <c r="F10" s="522"/>
      <c r="G10" s="522"/>
      <c r="H10" s="522"/>
    </row>
    <row r="11" spans="1:50" ht="30">
      <c r="A11" s="9" t="s">
        <v>7</v>
      </c>
      <c r="B11" s="522" t="s">
        <v>89</v>
      </c>
      <c r="C11" s="522"/>
      <c r="D11" s="522"/>
      <c r="E11" s="522"/>
      <c r="F11" s="522"/>
      <c r="G11" s="522"/>
      <c r="H11" s="522"/>
    </row>
    <row r="12" spans="1:50" ht="33.9" customHeight="1">
      <c r="A12" s="9" t="s">
        <v>60</v>
      </c>
      <c r="B12" s="522" t="s">
        <v>90</v>
      </c>
      <c r="C12" s="522"/>
      <c r="D12" s="522"/>
      <c r="E12" s="522"/>
      <c r="F12" s="522"/>
      <c r="G12" s="522"/>
      <c r="H12" s="522"/>
    </row>
    <row r="13" spans="1:50" ht="30">
      <c r="A13" s="9" t="s">
        <v>28</v>
      </c>
      <c r="B13" s="522" t="s">
        <v>91</v>
      </c>
      <c r="C13" s="522"/>
      <c r="D13" s="522"/>
      <c r="E13" s="522"/>
      <c r="F13" s="522"/>
      <c r="G13" s="522"/>
      <c r="H13" s="522"/>
    </row>
    <row r="14" spans="1:50" ht="30">
      <c r="A14" s="9" t="s">
        <v>81</v>
      </c>
      <c r="B14" s="522" t="s">
        <v>92</v>
      </c>
      <c r="C14" s="522"/>
      <c r="D14" s="522"/>
      <c r="E14" s="522"/>
      <c r="F14" s="522"/>
      <c r="G14" s="522"/>
      <c r="H14" s="522"/>
    </row>
    <row r="15" spans="1:50" ht="44.1" customHeight="1">
      <c r="A15" s="9" t="s">
        <v>78</v>
      </c>
      <c r="B15" s="522" t="s">
        <v>93</v>
      </c>
      <c r="C15" s="522"/>
      <c r="D15" s="522"/>
      <c r="E15" s="522"/>
      <c r="F15" s="522"/>
      <c r="G15" s="522"/>
      <c r="H15" s="522"/>
    </row>
    <row r="16" spans="1:50" ht="60">
      <c r="A16" s="9" t="s">
        <v>8</v>
      </c>
      <c r="B16" s="522" t="s">
        <v>94</v>
      </c>
      <c r="C16" s="522"/>
      <c r="D16" s="522"/>
      <c r="E16" s="522"/>
      <c r="F16" s="522"/>
      <c r="G16" s="522"/>
      <c r="H16" s="522"/>
    </row>
    <row r="17" spans="1:8" ht="58.5" customHeight="1">
      <c r="A17" s="9" t="s">
        <v>29</v>
      </c>
      <c r="B17" s="522" t="s">
        <v>95</v>
      </c>
      <c r="C17" s="522"/>
      <c r="D17" s="522"/>
      <c r="E17" s="522"/>
      <c r="F17" s="522"/>
      <c r="G17" s="522"/>
      <c r="H17" s="522"/>
    </row>
    <row r="18" spans="1:8" ht="30">
      <c r="A18" s="9" t="s">
        <v>61</v>
      </c>
      <c r="B18" s="522" t="s">
        <v>96</v>
      </c>
      <c r="C18" s="522"/>
      <c r="D18" s="522"/>
      <c r="E18" s="522"/>
      <c r="F18" s="522"/>
      <c r="G18" s="522"/>
      <c r="H18" s="522"/>
    </row>
    <row r="19" spans="1:8" ht="30" customHeight="1">
      <c r="A19" s="540"/>
      <c r="B19" s="541"/>
      <c r="C19" s="541"/>
      <c r="D19" s="541"/>
      <c r="E19" s="541"/>
      <c r="F19" s="541"/>
      <c r="G19" s="541"/>
      <c r="H19" s="542"/>
    </row>
    <row r="20" spans="1:8" ht="37.5" customHeight="1">
      <c r="A20" s="526" t="s">
        <v>156</v>
      </c>
      <c r="B20" s="526"/>
      <c r="C20" s="526"/>
      <c r="D20" s="526"/>
      <c r="E20" s="526"/>
      <c r="F20" s="526"/>
      <c r="G20" s="526"/>
      <c r="H20" s="526"/>
    </row>
    <row r="21" spans="1:8" ht="117" customHeight="1">
      <c r="A21" s="523" t="s">
        <v>34</v>
      </c>
      <c r="B21" s="523"/>
      <c r="C21" s="523"/>
      <c r="D21" s="523"/>
      <c r="E21" s="523"/>
      <c r="F21" s="523"/>
      <c r="G21" s="523"/>
      <c r="H21" s="523"/>
    </row>
    <row r="22" spans="1:8" ht="117" customHeight="1">
      <c r="A22" s="9" t="s">
        <v>77</v>
      </c>
      <c r="B22" s="522" t="s">
        <v>87</v>
      </c>
      <c r="C22" s="522"/>
      <c r="D22" s="522"/>
      <c r="E22" s="522"/>
      <c r="F22" s="522"/>
      <c r="G22" s="522"/>
      <c r="H22" s="522"/>
    </row>
    <row r="23" spans="1:8" ht="167.1" customHeight="1">
      <c r="A23" s="9" t="s">
        <v>62</v>
      </c>
      <c r="B23" s="523" t="s">
        <v>97</v>
      </c>
      <c r="C23" s="523"/>
      <c r="D23" s="523"/>
      <c r="E23" s="523"/>
      <c r="F23" s="523"/>
      <c r="G23" s="523"/>
      <c r="H23" s="523"/>
    </row>
    <row r="24" spans="1:8" ht="69.75" customHeight="1">
      <c r="A24" s="9" t="s">
        <v>162</v>
      </c>
      <c r="B24" s="523" t="s">
        <v>98</v>
      </c>
      <c r="C24" s="523"/>
      <c r="D24" s="523"/>
      <c r="E24" s="523"/>
      <c r="F24" s="523"/>
      <c r="G24" s="523"/>
      <c r="H24" s="523"/>
    </row>
    <row r="25" spans="1:8" ht="60" customHeight="1">
      <c r="A25" s="9" t="s">
        <v>163</v>
      </c>
      <c r="B25" s="523" t="s">
        <v>100</v>
      </c>
      <c r="C25" s="523"/>
      <c r="D25" s="523"/>
      <c r="E25" s="523"/>
      <c r="F25" s="523"/>
      <c r="G25" s="523"/>
      <c r="H25" s="523"/>
    </row>
    <row r="26" spans="1:8" ht="24.75" customHeight="1">
      <c r="A26" s="10" t="s">
        <v>64</v>
      </c>
      <c r="B26" s="524" t="s">
        <v>99</v>
      </c>
      <c r="C26" s="524"/>
      <c r="D26" s="524"/>
      <c r="E26" s="524"/>
      <c r="F26" s="524"/>
      <c r="G26" s="524"/>
      <c r="H26" s="524"/>
    </row>
    <row r="27" spans="1:8" ht="26.25" customHeight="1">
      <c r="A27" s="10" t="s">
        <v>65</v>
      </c>
      <c r="B27" s="524" t="s">
        <v>79</v>
      </c>
      <c r="C27" s="524"/>
      <c r="D27" s="524"/>
      <c r="E27" s="524"/>
      <c r="F27" s="524"/>
      <c r="G27" s="524"/>
      <c r="H27" s="524"/>
    </row>
    <row r="28" spans="1:8" ht="53.25" customHeight="1">
      <c r="A28" s="9" t="s">
        <v>143</v>
      </c>
      <c r="B28" s="523" t="s">
        <v>149</v>
      </c>
      <c r="C28" s="523"/>
      <c r="D28" s="523"/>
      <c r="E28" s="523"/>
      <c r="F28" s="523"/>
      <c r="G28" s="523"/>
      <c r="H28" s="523"/>
    </row>
    <row r="29" spans="1:8" ht="45" customHeight="1">
      <c r="A29" s="9" t="s">
        <v>145</v>
      </c>
      <c r="B29" s="518" t="s">
        <v>150</v>
      </c>
      <c r="C29" s="519"/>
      <c r="D29" s="519"/>
      <c r="E29" s="519"/>
      <c r="F29" s="519"/>
      <c r="G29" s="519"/>
      <c r="H29" s="520"/>
    </row>
    <row r="30" spans="1:8" ht="45" customHeight="1">
      <c r="A30" s="9" t="s">
        <v>144</v>
      </c>
      <c r="B30" s="518" t="s">
        <v>151</v>
      </c>
      <c r="C30" s="519"/>
      <c r="D30" s="519"/>
      <c r="E30" s="519"/>
      <c r="F30" s="519"/>
      <c r="G30" s="519"/>
      <c r="H30" s="520"/>
    </row>
    <row r="31" spans="1:8" ht="45" customHeight="1">
      <c r="A31" s="9" t="s">
        <v>135</v>
      </c>
      <c r="B31" s="518" t="s">
        <v>152</v>
      </c>
      <c r="C31" s="519"/>
      <c r="D31" s="519"/>
      <c r="E31" s="519"/>
      <c r="F31" s="519"/>
      <c r="G31" s="519"/>
      <c r="H31" s="520"/>
    </row>
    <row r="32" spans="1:8" ht="33" customHeight="1">
      <c r="A32" s="10" t="s">
        <v>164</v>
      </c>
      <c r="B32" s="523" t="s">
        <v>101</v>
      </c>
      <c r="C32" s="523"/>
      <c r="D32" s="523"/>
      <c r="E32" s="523"/>
      <c r="F32" s="523"/>
      <c r="G32" s="523"/>
      <c r="H32" s="523"/>
    </row>
    <row r="33" spans="1:8" ht="39" customHeight="1">
      <c r="A33" s="9" t="s">
        <v>66</v>
      </c>
      <c r="B33" s="524" t="s">
        <v>153</v>
      </c>
      <c r="C33" s="524"/>
      <c r="D33" s="524"/>
      <c r="E33" s="524"/>
      <c r="F33" s="524"/>
      <c r="G33" s="524"/>
      <c r="H33" s="524"/>
    </row>
    <row r="34" spans="1:8" ht="39" customHeight="1">
      <c r="A34" s="526" t="s">
        <v>184</v>
      </c>
      <c r="B34" s="526"/>
      <c r="C34" s="526"/>
      <c r="D34" s="526"/>
      <c r="E34" s="526"/>
      <c r="F34" s="526"/>
      <c r="G34" s="526"/>
      <c r="H34" s="526"/>
    </row>
    <row r="35" spans="1:8" ht="79.5" customHeight="1">
      <c r="A35" s="515" t="s">
        <v>185</v>
      </c>
      <c r="B35" s="516"/>
      <c r="C35" s="516"/>
      <c r="D35" s="516"/>
      <c r="E35" s="516"/>
      <c r="F35" s="516"/>
      <c r="G35" s="516"/>
      <c r="H35" s="517"/>
    </row>
    <row r="36" spans="1:8" ht="33" customHeight="1">
      <c r="A36" s="9" t="s">
        <v>25</v>
      </c>
      <c r="B36" s="523" t="s">
        <v>124</v>
      </c>
      <c r="C36" s="523"/>
      <c r="D36" s="523"/>
      <c r="E36" s="523"/>
      <c r="F36" s="523"/>
      <c r="G36" s="523"/>
      <c r="H36" s="523"/>
    </row>
    <row r="37" spans="1:8" ht="33" customHeight="1">
      <c r="A37" s="9" t="s">
        <v>26</v>
      </c>
      <c r="B37" s="523" t="s">
        <v>125</v>
      </c>
      <c r="C37" s="523"/>
      <c r="D37" s="523"/>
      <c r="E37" s="523"/>
      <c r="F37" s="523"/>
      <c r="G37" s="523"/>
      <c r="H37" s="523"/>
    </row>
    <row r="38" spans="1:8" ht="33" customHeight="1">
      <c r="A38" s="17"/>
      <c r="B38" s="18"/>
      <c r="C38" s="18"/>
      <c r="D38" s="18"/>
      <c r="E38" s="18"/>
      <c r="F38" s="18"/>
      <c r="G38" s="18"/>
      <c r="H38" s="19"/>
    </row>
    <row r="39" spans="1:8" ht="34.5" customHeight="1">
      <c r="A39" s="526" t="s">
        <v>157</v>
      </c>
      <c r="B39" s="526"/>
      <c r="C39" s="526"/>
      <c r="D39" s="526"/>
      <c r="E39" s="526"/>
      <c r="F39" s="526"/>
      <c r="G39" s="526"/>
      <c r="H39" s="526"/>
    </row>
    <row r="40" spans="1:8" ht="34.5" customHeight="1">
      <c r="A40" s="9" t="s">
        <v>9</v>
      </c>
      <c r="B40" s="523" t="s">
        <v>102</v>
      </c>
      <c r="C40" s="523"/>
      <c r="D40" s="523"/>
      <c r="E40" s="523"/>
      <c r="F40" s="523"/>
      <c r="G40" s="523"/>
      <c r="H40" s="523"/>
    </row>
    <row r="41" spans="1:8" ht="29.25" customHeight="1">
      <c r="A41" s="9" t="s">
        <v>10</v>
      </c>
      <c r="B41" s="523" t="s">
        <v>103</v>
      </c>
      <c r="C41" s="523"/>
      <c r="D41" s="523"/>
      <c r="E41" s="523"/>
      <c r="F41" s="523"/>
      <c r="G41" s="523"/>
      <c r="H41" s="523"/>
    </row>
    <row r="42" spans="1:8" ht="42" customHeight="1">
      <c r="A42" s="9" t="s">
        <v>126</v>
      </c>
      <c r="B42" s="523" t="s">
        <v>170</v>
      </c>
      <c r="C42" s="523"/>
      <c r="D42" s="523"/>
      <c r="E42" s="523"/>
      <c r="F42" s="523"/>
      <c r="G42" s="523"/>
      <c r="H42" s="523"/>
    </row>
    <row r="43" spans="1:8" ht="42" customHeight="1">
      <c r="A43" s="9" t="s">
        <v>172</v>
      </c>
      <c r="B43" s="518" t="s">
        <v>173</v>
      </c>
      <c r="C43" s="519"/>
      <c r="D43" s="519"/>
      <c r="E43" s="519"/>
      <c r="F43" s="519"/>
      <c r="G43" s="519"/>
      <c r="H43" s="520"/>
    </row>
    <row r="44" spans="1:8" ht="42" customHeight="1">
      <c r="A44" s="9" t="s">
        <v>127</v>
      </c>
      <c r="B44" s="518" t="s">
        <v>174</v>
      </c>
      <c r="C44" s="519"/>
      <c r="D44" s="519"/>
      <c r="E44" s="519"/>
      <c r="F44" s="519"/>
      <c r="G44" s="519"/>
      <c r="H44" s="520"/>
    </row>
    <row r="45" spans="1:8" ht="42" customHeight="1">
      <c r="A45" s="9" t="s">
        <v>175</v>
      </c>
      <c r="B45" s="518" t="s">
        <v>177</v>
      </c>
      <c r="C45" s="519"/>
      <c r="D45" s="519"/>
      <c r="E45" s="519"/>
      <c r="F45" s="519"/>
      <c r="G45" s="519"/>
      <c r="H45" s="520"/>
    </row>
    <row r="46" spans="1:8" ht="86.1" customHeight="1">
      <c r="A46" s="11" t="s">
        <v>179</v>
      </c>
      <c r="B46" s="529" t="s">
        <v>104</v>
      </c>
      <c r="C46" s="529"/>
      <c r="D46" s="529"/>
      <c r="E46" s="529"/>
      <c r="F46" s="529"/>
      <c r="G46" s="529"/>
      <c r="H46" s="529"/>
    </row>
    <row r="47" spans="1:8" ht="39.75" customHeight="1">
      <c r="A47" s="11" t="s">
        <v>183</v>
      </c>
      <c r="B47" s="537" t="s">
        <v>186</v>
      </c>
      <c r="C47" s="538"/>
      <c r="D47" s="538"/>
      <c r="E47" s="538"/>
      <c r="F47" s="538"/>
      <c r="G47" s="538"/>
      <c r="H47" s="539"/>
    </row>
    <row r="48" spans="1:8" ht="31.5" customHeight="1">
      <c r="A48" s="11" t="s">
        <v>11</v>
      </c>
      <c r="B48" s="529" t="s">
        <v>178</v>
      </c>
      <c r="C48" s="529"/>
      <c r="D48" s="529"/>
      <c r="E48" s="529"/>
      <c r="F48" s="529"/>
      <c r="G48" s="529"/>
      <c r="H48" s="529"/>
    </row>
    <row r="49" spans="1:8" ht="45">
      <c r="A49" s="11" t="s">
        <v>180</v>
      </c>
      <c r="B49" s="529" t="s">
        <v>105</v>
      </c>
      <c r="C49" s="529"/>
      <c r="D49" s="529"/>
      <c r="E49" s="529"/>
      <c r="F49" s="529"/>
      <c r="G49" s="529"/>
      <c r="H49" s="529"/>
    </row>
    <row r="50" spans="1:8" ht="43.5" customHeight="1">
      <c r="A50" s="11" t="s">
        <v>13</v>
      </c>
      <c r="B50" s="529" t="s">
        <v>106</v>
      </c>
      <c r="C50" s="529"/>
      <c r="D50" s="529"/>
      <c r="E50" s="529"/>
      <c r="F50" s="529"/>
      <c r="G50" s="529"/>
      <c r="H50" s="529"/>
    </row>
    <row r="51" spans="1:8" ht="40.5" customHeight="1">
      <c r="A51" s="11" t="s">
        <v>14</v>
      </c>
      <c r="B51" s="529" t="s">
        <v>107</v>
      </c>
      <c r="C51" s="529"/>
      <c r="D51" s="529"/>
      <c r="E51" s="529"/>
      <c r="F51" s="529"/>
      <c r="G51" s="529"/>
      <c r="H51" s="529"/>
    </row>
    <row r="52" spans="1:8" ht="75.75" customHeight="1">
      <c r="A52" s="12" t="s">
        <v>15</v>
      </c>
      <c r="B52" s="525" t="s">
        <v>108</v>
      </c>
      <c r="C52" s="525"/>
      <c r="D52" s="525"/>
      <c r="E52" s="525"/>
      <c r="F52" s="525"/>
      <c r="G52" s="525"/>
      <c r="H52" s="525"/>
    </row>
    <row r="53" spans="1:8" ht="41.25" customHeight="1">
      <c r="A53" s="12" t="s">
        <v>16</v>
      </c>
      <c r="B53" s="525" t="s">
        <v>109</v>
      </c>
      <c r="C53" s="525"/>
      <c r="D53" s="525"/>
      <c r="E53" s="525"/>
      <c r="F53" s="525"/>
      <c r="G53" s="525"/>
      <c r="H53" s="525"/>
    </row>
    <row r="54" spans="1:8" ht="47.4" customHeight="1">
      <c r="A54" s="12" t="s">
        <v>141</v>
      </c>
      <c r="B54" s="525" t="s">
        <v>110</v>
      </c>
      <c r="C54" s="525"/>
      <c r="D54" s="525"/>
      <c r="E54" s="525"/>
      <c r="F54" s="525"/>
      <c r="G54" s="525"/>
      <c r="H54" s="525"/>
    </row>
    <row r="55" spans="1:8" ht="57.6" customHeight="1">
      <c r="A55" s="12" t="s">
        <v>35</v>
      </c>
      <c r="B55" s="525" t="s">
        <v>111</v>
      </c>
      <c r="C55" s="525"/>
      <c r="D55" s="525"/>
      <c r="E55" s="525"/>
      <c r="F55" s="525"/>
      <c r="G55" s="525"/>
      <c r="H55" s="525"/>
    </row>
    <row r="56" spans="1:8" ht="31.5" customHeight="1">
      <c r="A56" s="12" t="s">
        <v>82</v>
      </c>
      <c r="B56" s="525" t="s">
        <v>112</v>
      </c>
      <c r="C56" s="525"/>
      <c r="D56" s="525"/>
      <c r="E56" s="525"/>
      <c r="F56" s="525"/>
      <c r="G56" s="525"/>
      <c r="H56" s="525"/>
    </row>
    <row r="57" spans="1:8" ht="70.5" customHeight="1">
      <c r="A57" s="12" t="s">
        <v>83</v>
      </c>
      <c r="B57" s="525" t="s">
        <v>113</v>
      </c>
      <c r="C57" s="525"/>
      <c r="D57" s="525"/>
      <c r="E57" s="525"/>
      <c r="F57" s="525"/>
      <c r="G57" s="525"/>
      <c r="H57" s="525"/>
    </row>
    <row r="58" spans="1:8" ht="33.75" customHeight="1">
      <c r="A58" s="530"/>
      <c r="B58" s="530"/>
      <c r="C58" s="530"/>
      <c r="D58" s="530"/>
      <c r="E58" s="530"/>
      <c r="F58" s="530"/>
      <c r="G58" s="530"/>
      <c r="H58" s="531"/>
    </row>
    <row r="59" spans="1:8" ht="32.25" customHeight="1">
      <c r="A59" s="521" t="s">
        <v>159</v>
      </c>
      <c r="B59" s="521"/>
      <c r="C59" s="521"/>
      <c r="D59" s="521"/>
      <c r="E59" s="521"/>
      <c r="F59" s="521"/>
      <c r="G59" s="521"/>
      <c r="H59" s="521"/>
    </row>
    <row r="60" spans="1:8" ht="34.5" customHeight="1">
      <c r="A60" s="9" t="s">
        <v>21</v>
      </c>
      <c r="B60" s="527" t="s">
        <v>119</v>
      </c>
      <c r="C60" s="527"/>
      <c r="D60" s="527"/>
      <c r="E60" s="527"/>
      <c r="F60" s="527"/>
      <c r="G60" s="527"/>
      <c r="H60" s="527"/>
    </row>
    <row r="61" spans="1:8" ht="60" customHeight="1">
      <c r="A61" s="9" t="s">
        <v>31</v>
      </c>
      <c r="B61" s="536" t="s">
        <v>120</v>
      </c>
      <c r="C61" s="536"/>
      <c r="D61" s="536"/>
      <c r="E61" s="536"/>
      <c r="F61" s="536"/>
      <c r="G61" s="536"/>
      <c r="H61" s="536"/>
    </row>
    <row r="62" spans="1:8" ht="41.25" customHeight="1">
      <c r="A62" s="9" t="s">
        <v>181</v>
      </c>
      <c r="B62" s="533" t="s">
        <v>182</v>
      </c>
      <c r="C62" s="534"/>
      <c r="D62" s="534"/>
      <c r="E62" s="534"/>
      <c r="F62" s="534"/>
      <c r="G62" s="534"/>
      <c r="H62" s="535"/>
    </row>
    <row r="63" spans="1:8" ht="42" customHeight="1">
      <c r="A63" s="9" t="s">
        <v>22</v>
      </c>
      <c r="B63" s="523" t="s">
        <v>121</v>
      </c>
      <c r="C63" s="523"/>
      <c r="D63" s="523"/>
      <c r="E63" s="523"/>
      <c r="F63" s="523"/>
      <c r="G63" s="523"/>
      <c r="H63" s="523"/>
    </row>
    <row r="64" spans="1:8" ht="31.5" customHeight="1">
      <c r="A64" s="9" t="s">
        <v>23</v>
      </c>
      <c r="B64" s="527" t="s">
        <v>122</v>
      </c>
      <c r="C64" s="527"/>
      <c r="D64" s="527"/>
      <c r="E64" s="527"/>
      <c r="F64" s="527"/>
      <c r="G64" s="527"/>
      <c r="H64" s="527"/>
    </row>
    <row r="65" spans="1:8" ht="45.75" customHeight="1">
      <c r="A65" s="9" t="s">
        <v>24</v>
      </c>
      <c r="B65" s="527" t="s">
        <v>123</v>
      </c>
      <c r="C65" s="527"/>
      <c r="D65" s="527"/>
      <c r="E65" s="527"/>
      <c r="F65" s="527"/>
      <c r="G65" s="527"/>
      <c r="H65" s="527"/>
    </row>
    <row r="66" spans="1:8" ht="30.75" customHeight="1">
      <c r="A66" s="532"/>
      <c r="B66" s="532"/>
      <c r="C66" s="532"/>
      <c r="D66" s="532"/>
      <c r="E66" s="532"/>
      <c r="F66" s="532"/>
      <c r="G66" s="532"/>
      <c r="H66" s="532"/>
    </row>
    <row r="67" spans="1:8" ht="34.5" customHeight="1">
      <c r="A67" s="521" t="s">
        <v>158</v>
      </c>
      <c r="B67" s="521"/>
      <c r="C67" s="521"/>
      <c r="D67" s="521"/>
      <c r="E67" s="521"/>
      <c r="F67" s="521"/>
      <c r="G67" s="521"/>
      <c r="H67" s="521"/>
    </row>
    <row r="68" spans="1:8" ht="39.75" customHeight="1">
      <c r="A68" s="12" t="s">
        <v>18</v>
      </c>
      <c r="B68" s="527" t="s">
        <v>114</v>
      </c>
      <c r="C68" s="527"/>
      <c r="D68" s="527"/>
      <c r="E68" s="527"/>
      <c r="F68" s="527"/>
      <c r="G68" s="527"/>
      <c r="H68" s="527"/>
    </row>
    <row r="69" spans="1:8" ht="39.75" customHeight="1">
      <c r="A69" s="12" t="s">
        <v>12</v>
      </c>
      <c r="B69" s="527" t="s">
        <v>115</v>
      </c>
      <c r="C69" s="527"/>
      <c r="D69" s="527"/>
      <c r="E69" s="527"/>
      <c r="F69" s="527"/>
      <c r="G69" s="527"/>
      <c r="H69" s="527"/>
    </row>
    <row r="70" spans="1:8" ht="42" customHeight="1">
      <c r="A70" s="12" t="s">
        <v>17</v>
      </c>
      <c r="B70" s="525" t="s">
        <v>116</v>
      </c>
      <c r="C70" s="525"/>
      <c r="D70" s="525"/>
      <c r="E70" s="525"/>
      <c r="F70" s="525"/>
      <c r="G70" s="525"/>
      <c r="H70" s="525"/>
    </row>
    <row r="71" spans="1:8" ht="33.75" customHeight="1">
      <c r="A71" s="12" t="s">
        <v>19</v>
      </c>
      <c r="B71" s="527" t="s">
        <v>117</v>
      </c>
      <c r="C71" s="527"/>
      <c r="D71" s="527"/>
      <c r="E71" s="527"/>
      <c r="F71" s="527"/>
      <c r="G71" s="527"/>
      <c r="H71" s="527"/>
    </row>
    <row r="72" spans="1:8" ht="33" customHeight="1">
      <c r="A72" s="12" t="s">
        <v>20</v>
      </c>
      <c r="B72" s="527" t="s">
        <v>118</v>
      </c>
      <c r="C72" s="527"/>
      <c r="D72" s="527"/>
      <c r="E72" s="527"/>
      <c r="F72" s="527"/>
      <c r="G72" s="527"/>
      <c r="H72" s="527"/>
    </row>
    <row r="73" spans="1:8" ht="33.75" customHeight="1">
      <c r="A73" s="528"/>
      <c r="B73" s="528"/>
      <c r="C73" s="528"/>
      <c r="D73" s="528"/>
      <c r="E73" s="528"/>
      <c r="F73" s="528"/>
      <c r="G73" s="528"/>
      <c r="H73" s="528"/>
    </row>
    <row r="74" spans="1:8" ht="54.75" customHeight="1"/>
    <row r="76" spans="1:8" ht="134.4"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27"/>
  <sheetViews>
    <sheetView zoomScale="90" zoomScaleNormal="90" workbookViewId="0">
      <selection activeCell="A7" sqref="A7"/>
    </sheetView>
  </sheetViews>
  <sheetFormatPr baseColWidth="10" defaultColWidth="10.88671875" defaultRowHeight="14.4"/>
  <cols>
    <col min="1" max="1" width="20.77734375" customWidth="1"/>
    <col min="2" max="2" width="25" customWidth="1"/>
    <col min="3" max="3" width="19.77734375" customWidth="1"/>
    <col min="4" max="4" width="20.21875" customWidth="1"/>
    <col min="5" max="6" width="22.88671875" customWidth="1"/>
    <col min="7" max="7" width="25.21875" customWidth="1"/>
  </cols>
  <sheetData>
    <row r="2" spans="1:7">
      <c r="A2" s="685" t="s">
        <v>36</v>
      </c>
      <c r="B2" s="686"/>
      <c r="C2" s="686"/>
      <c r="D2" s="686"/>
      <c r="E2" s="686"/>
      <c r="F2" s="686"/>
      <c r="G2" s="687"/>
    </row>
    <row r="3" spans="1:7" s="4" customFormat="1">
      <c r="A3" s="20" t="s">
        <v>37</v>
      </c>
      <c r="B3" s="688" t="s">
        <v>38</v>
      </c>
      <c r="C3" s="688"/>
      <c r="D3" s="688"/>
      <c r="E3" s="688"/>
      <c r="F3" s="688"/>
      <c r="G3" s="22" t="s">
        <v>39</v>
      </c>
    </row>
    <row r="4" spans="1:7" ht="12.75" customHeight="1">
      <c r="A4" s="23">
        <v>45489</v>
      </c>
      <c r="B4" s="689" t="s">
        <v>191</v>
      </c>
      <c r="C4" s="689"/>
      <c r="D4" s="689"/>
      <c r="E4" s="689"/>
      <c r="F4" s="689"/>
      <c r="G4" s="24" t="s">
        <v>192</v>
      </c>
    </row>
    <row r="5" spans="1:7" ht="12.75" customHeight="1">
      <c r="A5" s="25"/>
      <c r="B5" s="689"/>
      <c r="C5" s="689"/>
      <c r="D5" s="689"/>
      <c r="E5" s="689"/>
      <c r="F5" s="689"/>
      <c r="G5" s="24"/>
    </row>
    <row r="6" spans="1:7">
      <c r="A6" s="25"/>
      <c r="B6" s="684"/>
      <c r="C6" s="684"/>
      <c r="D6" s="684"/>
      <c r="E6" s="684"/>
      <c r="F6" s="684"/>
      <c r="G6" s="27"/>
    </row>
    <row r="7" spans="1:7">
      <c r="A7" s="25"/>
      <c r="B7" s="684"/>
      <c r="C7" s="684"/>
      <c r="D7" s="684"/>
      <c r="E7" s="684"/>
      <c r="F7" s="684"/>
      <c r="G7" s="27"/>
    </row>
    <row r="8" spans="1:7">
      <c r="A8" s="25"/>
      <c r="B8" s="26"/>
      <c r="C8" s="26"/>
      <c r="D8" s="26"/>
      <c r="E8" s="26"/>
      <c r="F8" s="26"/>
      <c r="G8" s="27"/>
    </row>
    <row r="9" spans="1:7">
      <c r="A9" s="691" t="s">
        <v>193</v>
      </c>
      <c r="B9" s="692"/>
      <c r="C9" s="692"/>
      <c r="D9" s="692"/>
      <c r="E9" s="692"/>
      <c r="F9" s="692"/>
      <c r="G9" s="693"/>
    </row>
    <row r="10" spans="1:7" s="4" customFormat="1">
      <c r="A10" s="21"/>
      <c r="B10" s="688" t="s">
        <v>40</v>
      </c>
      <c r="C10" s="688"/>
      <c r="D10" s="688" t="s">
        <v>41</v>
      </c>
      <c r="E10" s="688"/>
      <c r="F10" s="21" t="s">
        <v>37</v>
      </c>
      <c r="G10" s="21" t="s">
        <v>42</v>
      </c>
    </row>
    <row r="11" spans="1:7">
      <c r="A11" s="28" t="s">
        <v>43</v>
      </c>
      <c r="B11" s="689" t="s">
        <v>44</v>
      </c>
      <c r="C11" s="689"/>
      <c r="D11" s="690" t="s">
        <v>45</v>
      </c>
      <c r="E11" s="690"/>
      <c r="F11" s="25" t="s">
        <v>57</v>
      </c>
      <c r="G11" s="27"/>
    </row>
    <row r="12" spans="1:7">
      <c r="A12" s="28" t="s">
        <v>46</v>
      </c>
      <c r="B12" s="690" t="s">
        <v>47</v>
      </c>
      <c r="C12" s="690"/>
      <c r="D12" s="690" t="s">
        <v>58</v>
      </c>
      <c r="E12" s="690"/>
      <c r="F12" s="25" t="s">
        <v>57</v>
      </c>
      <c r="G12" s="27"/>
    </row>
    <row r="13" spans="1:7">
      <c r="A13" s="28" t="s">
        <v>48</v>
      </c>
      <c r="B13" s="690" t="s">
        <v>47</v>
      </c>
      <c r="C13" s="690"/>
      <c r="D13" s="690" t="s">
        <v>58</v>
      </c>
      <c r="E13" s="690"/>
      <c r="F13" s="25" t="s">
        <v>57</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N104"/>
  <sheetViews>
    <sheetView tabSelected="1" topLeftCell="K8" zoomScale="51" zoomScaleNormal="70" workbookViewId="0">
      <pane xSplit="1" ySplit="1" topLeftCell="S9" activePane="bottomRight" state="frozen"/>
      <selection activeCell="K8" sqref="K8"/>
      <selection pane="topRight" activeCell="L8" sqref="L8"/>
      <selection pane="bottomLeft" activeCell="K9" sqref="K9"/>
      <selection pane="bottomRight" activeCell="E16" sqref="E16:AA16"/>
    </sheetView>
  </sheetViews>
  <sheetFormatPr baseColWidth="10" defaultColWidth="11.21875" defaultRowHeight="13.8"/>
  <cols>
    <col min="1" max="2" width="26.21875" style="306" customWidth="1"/>
    <col min="3" max="3" width="22.21875" style="306" customWidth="1"/>
    <col min="4" max="4" width="25.77734375" style="306" customWidth="1"/>
    <col min="5" max="5" width="26.6640625" style="306" customWidth="1"/>
    <col min="6" max="6" width="29.33203125" style="306" customWidth="1"/>
    <col min="7" max="7" width="23.77734375" style="306" customWidth="1"/>
    <col min="8" max="8" width="39" style="306" customWidth="1"/>
    <col min="9" max="9" width="23" style="306" customWidth="1"/>
    <col min="10" max="10" width="29" style="306" customWidth="1"/>
    <col min="11" max="11" width="34.6640625" style="474" customWidth="1"/>
    <col min="12" max="12" width="28.6640625" style="474" customWidth="1"/>
    <col min="13" max="13" width="11.109375" style="474" customWidth="1"/>
    <col min="14" max="14" width="11" style="474" customWidth="1"/>
    <col min="15" max="15" width="26.6640625" style="474" customWidth="1"/>
    <col min="16" max="16" width="24.77734375" style="474" customWidth="1"/>
    <col min="17" max="17" width="19.88671875" style="484" customWidth="1"/>
    <col min="18" max="18" width="28.109375" style="306" customWidth="1"/>
    <col min="19" max="19" width="24.88671875" style="306" customWidth="1"/>
    <col min="20" max="20" width="24.109375" style="306" customWidth="1"/>
    <col min="21" max="26" width="20.33203125" style="306" customWidth="1"/>
    <col min="27" max="29" width="21.88671875" style="306" customWidth="1"/>
    <col min="30" max="30" width="21" style="306" customWidth="1"/>
    <col min="31" max="31" width="22.109375" style="306" customWidth="1"/>
    <col min="32" max="32" width="22.88671875" style="306" customWidth="1"/>
    <col min="33" max="33" width="38.88671875" style="306" customWidth="1"/>
    <col min="34" max="16384" width="11.21875" style="306"/>
  </cols>
  <sheetData>
    <row r="1" spans="1:248" ht="21" customHeight="1">
      <c r="A1" s="551"/>
      <c r="B1" s="551"/>
      <c r="C1" s="544" t="s">
        <v>0</v>
      </c>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row>
    <row r="2" spans="1:248" ht="21" customHeight="1">
      <c r="A2" s="551"/>
      <c r="B2" s="551"/>
      <c r="C2" s="553" t="s">
        <v>1</v>
      </c>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row>
    <row r="3" spans="1:248" ht="21" customHeight="1">
      <c r="A3" s="551"/>
      <c r="B3" s="551"/>
      <c r="C3" s="553" t="s">
        <v>3</v>
      </c>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row>
    <row r="4" spans="1:248" ht="21" customHeight="1">
      <c r="A4" s="551"/>
      <c r="B4" s="551"/>
      <c r="C4" s="553" t="s">
        <v>136</v>
      </c>
      <c r="D4" s="553"/>
      <c r="E4" s="553"/>
      <c r="F4" s="553"/>
      <c r="G4" s="553"/>
      <c r="H4" s="553"/>
      <c r="I4" s="553"/>
      <c r="J4" s="553"/>
      <c r="K4" s="553"/>
      <c r="L4" s="553"/>
      <c r="M4" s="553"/>
      <c r="N4" s="553"/>
      <c r="O4" s="553"/>
      <c r="P4" s="553"/>
      <c r="Q4" s="553"/>
      <c r="R4" s="553"/>
      <c r="S4" s="553"/>
      <c r="T4" s="553"/>
      <c r="U4" s="553"/>
      <c r="V4" s="553"/>
      <c r="W4" s="553"/>
      <c r="X4" s="553"/>
      <c r="Y4" s="553"/>
      <c r="Z4" s="553"/>
      <c r="AA4" s="553"/>
      <c r="AB4" s="553"/>
      <c r="AC4" s="553"/>
      <c r="AD4" s="553"/>
      <c r="AE4" s="553"/>
      <c r="AF4" s="553"/>
      <c r="AG4" s="553"/>
    </row>
    <row r="5" spans="1:248" ht="26.25" customHeight="1">
      <c r="A5" s="546" t="s">
        <v>147</v>
      </c>
      <c r="B5" s="546"/>
      <c r="C5" s="547" t="s">
        <v>950</v>
      </c>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row>
    <row r="6" spans="1:248" ht="39" customHeight="1">
      <c r="A6" s="549" t="s">
        <v>979</v>
      </c>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row>
    <row r="7" spans="1:248" ht="26.25" customHeight="1">
      <c r="A7" s="549" t="s">
        <v>949</v>
      </c>
      <c r="B7" s="550"/>
      <c r="C7" s="550"/>
      <c r="D7" s="550"/>
      <c r="E7" s="550"/>
      <c r="F7" s="550"/>
      <c r="G7" s="550"/>
      <c r="H7" s="550"/>
      <c r="I7" s="550"/>
      <c r="J7" s="550"/>
      <c r="K7" s="550"/>
      <c r="L7" s="550"/>
      <c r="M7" s="550"/>
      <c r="N7" s="550"/>
      <c r="O7" s="550"/>
      <c r="P7" s="554"/>
      <c r="Q7" s="546" t="s">
        <v>948</v>
      </c>
      <c r="R7" s="546"/>
      <c r="S7" s="546"/>
      <c r="T7" s="546"/>
      <c r="U7" s="546" t="s">
        <v>947</v>
      </c>
      <c r="V7" s="546"/>
      <c r="W7" s="546"/>
      <c r="X7" s="546"/>
      <c r="Y7" s="546"/>
      <c r="Z7" s="546" t="s">
        <v>946</v>
      </c>
      <c r="AA7" s="546"/>
      <c r="AB7" s="546"/>
      <c r="AC7" s="546"/>
      <c r="AD7" s="546" t="s">
        <v>945</v>
      </c>
      <c r="AE7" s="546"/>
      <c r="AF7" s="546"/>
      <c r="AG7" s="546"/>
    </row>
    <row r="8" spans="1:248" ht="57" customHeight="1">
      <c r="A8" s="329" t="s">
        <v>71</v>
      </c>
      <c r="B8" s="329" t="s">
        <v>142</v>
      </c>
      <c r="C8" s="329" t="s">
        <v>134</v>
      </c>
      <c r="D8" s="329" t="s">
        <v>27</v>
      </c>
      <c r="E8" s="329" t="s">
        <v>80</v>
      </c>
      <c r="F8" s="329" t="s">
        <v>6</v>
      </c>
      <c r="G8" s="329" t="s">
        <v>168</v>
      </c>
      <c r="H8" s="329" t="s">
        <v>33</v>
      </c>
      <c r="I8" s="329" t="s">
        <v>7</v>
      </c>
      <c r="J8" s="329" t="s">
        <v>133</v>
      </c>
      <c r="K8" s="329" t="s">
        <v>76</v>
      </c>
      <c r="L8" s="329" t="s">
        <v>75</v>
      </c>
      <c r="M8" s="544" t="s">
        <v>154</v>
      </c>
      <c r="N8" s="545"/>
      <c r="O8" s="329" t="s">
        <v>8</v>
      </c>
      <c r="P8" s="329" t="s">
        <v>29</v>
      </c>
      <c r="Q8" s="329" t="s">
        <v>30</v>
      </c>
      <c r="R8" s="329" t="s">
        <v>139</v>
      </c>
      <c r="S8" s="305" t="s">
        <v>140</v>
      </c>
      <c r="T8" s="305" t="s">
        <v>138</v>
      </c>
      <c r="U8" s="329" t="s">
        <v>933</v>
      </c>
      <c r="V8" s="305" t="s">
        <v>934</v>
      </c>
      <c r="W8" s="305" t="s">
        <v>935</v>
      </c>
      <c r="X8" s="305" t="s">
        <v>936</v>
      </c>
      <c r="Y8" s="305" t="s">
        <v>937</v>
      </c>
      <c r="Z8" s="305" t="s">
        <v>938</v>
      </c>
      <c r="AA8" s="305" t="s">
        <v>939</v>
      </c>
      <c r="AB8" s="305" t="s">
        <v>940</v>
      </c>
      <c r="AC8" s="305" t="s">
        <v>1023</v>
      </c>
      <c r="AD8" s="305" t="s">
        <v>941</v>
      </c>
      <c r="AE8" s="305" t="s">
        <v>942</v>
      </c>
      <c r="AF8" s="305" t="s">
        <v>943</v>
      </c>
      <c r="AG8" s="305" t="s">
        <v>944</v>
      </c>
    </row>
    <row r="9" spans="1:248" ht="65.099999999999994" customHeight="1">
      <c r="A9" s="307" t="s">
        <v>204</v>
      </c>
      <c r="B9" s="308" t="s">
        <v>354</v>
      </c>
      <c r="C9" s="307" t="s">
        <v>194</v>
      </c>
      <c r="D9" s="307" t="s">
        <v>195</v>
      </c>
      <c r="E9" s="309" t="s">
        <v>255</v>
      </c>
      <c r="F9" s="308" t="s">
        <v>196</v>
      </c>
      <c r="G9" s="310" t="s">
        <v>355</v>
      </c>
      <c r="H9" s="309" t="s">
        <v>234</v>
      </c>
      <c r="I9" s="311" t="s">
        <v>230</v>
      </c>
      <c r="J9" s="309" t="s">
        <v>612</v>
      </c>
      <c r="K9" s="312" t="s">
        <v>205</v>
      </c>
      <c r="L9" s="313">
        <v>0.25</v>
      </c>
      <c r="M9" s="311" t="s">
        <v>254</v>
      </c>
      <c r="N9" s="311"/>
      <c r="O9" s="309" t="s">
        <v>475</v>
      </c>
      <c r="P9" s="309">
        <v>12</v>
      </c>
      <c r="Q9" s="309">
        <v>3</v>
      </c>
      <c r="R9" s="309">
        <v>4</v>
      </c>
      <c r="S9" s="309">
        <v>3</v>
      </c>
      <c r="T9" s="309">
        <v>3</v>
      </c>
      <c r="U9" s="309">
        <v>0</v>
      </c>
      <c r="V9" s="311">
        <f>+Z9+AA9+AB9+AC9</f>
        <v>1</v>
      </c>
      <c r="W9" s="311"/>
      <c r="X9" s="311"/>
      <c r="Y9" s="309">
        <f>(U9+V9+W9+X9)</f>
        <v>1</v>
      </c>
      <c r="Z9" s="311">
        <v>0</v>
      </c>
      <c r="AA9" s="311">
        <v>0</v>
      </c>
      <c r="AB9" s="311">
        <v>1</v>
      </c>
      <c r="AC9" s="311">
        <v>0</v>
      </c>
      <c r="AD9" s="486">
        <f>(V9/R9)*L9</f>
        <v>6.25E-2</v>
      </c>
      <c r="AE9" s="487">
        <f>Y9/P9*L9</f>
        <v>2.0833333333333332E-2</v>
      </c>
      <c r="AF9" s="486">
        <f>V9/R9</f>
        <v>0.25</v>
      </c>
      <c r="AG9" s="487">
        <f>+V9/P9</f>
        <v>8.3333333333333329E-2</v>
      </c>
    </row>
    <row r="10" spans="1:248" ht="65.099999999999994" customHeight="1">
      <c r="A10" s="314"/>
      <c r="B10" s="315"/>
      <c r="C10" s="314"/>
      <c r="D10" s="314"/>
      <c r="E10" s="309" t="s">
        <v>255</v>
      </c>
      <c r="F10" s="308" t="s">
        <v>196</v>
      </c>
      <c r="G10" s="310" t="s">
        <v>355</v>
      </c>
      <c r="H10" s="309" t="s">
        <v>235</v>
      </c>
      <c r="I10" s="311" t="s">
        <v>230</v>
      </c>
      <c r="J10" s="309" t="s">
        <v>613</v>
      </c>
      <c r="K10" s="309" t="s">
        <v>206</v>
      </c>
      <c r="L10" s="313">
        <v>0.25</v>
      </c>
      <c r="M10" s="311" t="s">
        <v>254</v>
      </c>
      <c r="N10" s="316"/>
      <c r="O10" s="309" t="s">
        <v>476</v>
      </c>
      <c r="P10" s="309">
        <v>1</v>
      </c>
      <c r="Q10" s="309">
        <v>0.5</v>
      </c>
      <c r="R10" s="309">
        <v>0.73</v>
      </c>
      <c r="S10" s="309">
        <v>0</v>
      </c>
      <c r="T10" s="309">
        <v>0</v>
      </c>
      <c r="U10" s="309">
        <v>0.27</v>
      </c>
      <c r="V10" s="501">
        <f t="shared" ref="V10:V40" si="0">+Z10+AA10+AB10+AC10</f>
        <v>0.45999999999999996</v>
      </c>
      <c r="W10" s="311"/>
      <c r="X10" s="311"/>
      <c r="Y10" s="309">
        <f t="shared" ref="Y10:Y40" si="1">(U10+V10+W10+X10)</f>
        <v>0.73</v>
      </c>
      <c r="Z10" s="311">
        <v>0.35</v>
      </c>
      <c r="AA10" s="311">
        <f>0.05</f>
        <v>0.05</v>
      </c>
      <c r="AB10" s="311">
        <v>0</v>
      </c>
      <c r="AC10" s="311">
        <v>0.06</v>
      </c>
      <c r="AD10" s="486">
        <f>(V10/R10)*L10</f>
        <v>0.15753424657534246</v>
      </c>
      <c r="AE10" s="487">
        <f>Y10/P10*L10</f>
        <v>0.1825</v>
      </c>
      <c r="AF10" s="486">
        <f t="shared" ref="AF10:AF34" si="2">V10/R10</f>
        <v>0.63013698630136983</v>
      </c>
      <c r="AG10" s="487">
        <f>+Y10/P10</f>
        <v>0.73</v>
      </c>
    </row>
    <row r="11" spans="1:248" ht="65.099999999999994" customHeight="1">
      <c r="A11" s="314"/>
      <c r="B11" s="315"/>
      <c r="C11" s="314"/>
      <c r="D11" s="314"/>
      <c r="E11" s="309" t="s">
        <v>255</v>
      </c>
      <c r="F11" s="308" t="s">
        <v>196</v>
      </c>
      <c r="G11" s="310" t="s">
        <v>355</v>
      </c>
      <c r="H11" s="309" t="s">
        <v>236</v>
      </c>
      <c r="I11" s="311" t="s">
        <v>230</v>
      </c>
      <c r="J11" s="309" t="s">
        <v>614</v>
      </c>
      <c r="K11" s="309" t="s">
        <v>207</v>
      </c>
      <c r="L11" s="313">
        <v>0.25</v>
      </c>
      <c r="M11" s="311" t="s">
        <v>254</v>
      </c>
      <c r="N11" s="311"/>
      <c r="O11" s="309" t="s">
        <v>477</v>
      </c>
      <c r="P11" s="309">
        <v>16</v>
      </c>
      <c r="Q11" s="309">
        <v>4</v>
      </c>
      <c r="R11" s="309">
        <v>4</v>
      </c>
      <c r="S11" s="309">
        <v>4</v>
      </c>
      <c r="T11" s="309">
        <v>4</v>
      </c>
      <c r="U11" s="309">
        <v>2</v>
      </c>
      <c r="V11" s="311">
        <f t="shared" si="0"/>
        <v>3</v>
      </c>
      <c r="W11" s="311"/>
      <c r="X11" s="311"/>
      <c r="Y11" s="309">
        <f t="shared" si="1"/>
        <v>5</v>
      </c>
      <c r="Z11" s="311">
        <v>1</v>
      </c>
      <c r="AA11" s="311">
        <v>0</v>
      </c>
      <c r="AB11" s="311">
        <v>2</v>
      </c>
      <c r="AC11" s="311">
        <v>0</v>
      </c>
      <c r="AD11" s="486">
        <f>(V11/R11)*L11</f>
        <v>0.1875</v>
      </c>
      <c r="AE11" s="487">
        <f>(Y11/P11)*L11</f>
        <v>7.8125E-2</v>
      </c>
      <c r="AF11" s="486">
        <f t="shared" si="2"/>
        <v>0.75</v>
      </c>
      <c r="AG11" s="487">
        <f>+Y11/P11</f>
        <v>0.3125</v>
      </c>
    </row>
    <row r="12" spans="1:248" ht="65.099999999999994" customHeight="1">
      <c r="A12" s="317"/>
      <c r="B12" s="555"/>
      <c r="C12" s="556"/>
      <c r="D12" s="559"/>
      <c r="E12" s="312" t="s">
        <v>256</v>
      </c>
      <c r="F12" s="308" t="s">
        <v>196</v>
      </c>
      <c r="G12" s="310" t="s">
        <v>355</v>
      </c>
      <c r="H12" s="309" t="s">
        <v>237</v>
      </c>
      <c r="I12" s="311" t="s">
        <v>230</v>
      </c>
      <c r="J12" s="309" t="s">
        <v>622</v>
      </c>
      <c r="K12" s="309" t="s">
        <v>208</v>
      </c>
      <c r="L12" s="313">
        <v>0.25</v>
      </c>
      <c r="M12" s="311" t="s">
        <v>254</v>
      </c>
      <c r="N12" s="311"/>
      <c r="O12" s="309" t="s">
        <v>478</v>
      </c>
      <c r="P12" s="309">
        <v>300</v>
      </c>
      <c r="Q12" s="309">
        <v>8</v>
      </c>
      <c r="R12" s="309">
        <v>300</v>
      </c>
      <c r="S12" s="309">
        <v>8</v>
      </c>
      <c r="T12" s="309">
        <v>8</v>
      </c>
      <c r="U12" s="395">
        <v>368</v>
      </c>
      <c r="V12" s="488">
        <f t="shared" si="0"/>
        <v>299</v>
      </c>
      <c r="W12" s="311"/>
      <c r="X12" s="311"/>
      <c r="Y12" s="395">
        <f>+V12</f>
        <v>299</v>
      </c>
      <c r="Z12" s="311">
        <v>83</v>
      </c>
      <c r="AA12" s="311">
        <f>15+33+21+48</f>
        <v>117</v>
      </c>
      <c r="AB12" s="311">
        <v>42</v>
      </c>
      <c r="AC12" s="311">
        <v>57</v>
      </c>
      <c r="AD12" s="486">
        <f>(V12/R12)*L12</f>
        <v>0.24916666666666668</v>
      </c>
      <c r="AE12" s="487">
        <f>Y12/P12*L12</f>
        <v>0.24916666666666668</v>
      </c>
      <c r="AF12" s="486">
        <f t="shared" si="2"/>
        <v>0.9966666666666667</v>
      </c>
      <c r="AG12" s="487">
        <f>568/1200</f>
        <v>0.47333333333333333</v>
      </c>
    </row>
    <row r="13" spans="1:248" ht="65.099999999999994" customHeight="1">
      <c r="A13" s="317"/>
      <c r="B13" s="555"/>
      <c r="C13" s="557"/>
      <c r="D13" s="559"/>
      <c r="E13" s="552" t="s">
        <v>725</v>
      </c>
      <c r="F13" s="552"/>
      <c r="G13" s="552"/>
      <c r="H13" s="552"/>
      <c r="I13" s="552"/>
      <c r="J13" s="552"/>
      <c r="K13" s="552"/>
      <c r="L13" s="552"/>
      <c r="M13" s="552"/>
      <c r="N13" s="552"/>
      <c r="O13" s="552"/>
      <c r="P13" s="552"/>
      <c r="Q13" s="552"/>
      <c r="R13" s="552"/>
      <c r="S13" s="552"/>
      <c r="T13" s="552"/>
      <c r="U13" s="552"/>
      <c r="V13" s="552"/>
      <c r="W13" s="552"/>
      <c r="X13" s="552"/>
      <c r="Y13" s="552"/>
      <c r="Z13" s="552"/>
      <c r="AA13" s="545"/>
      <c r="AB13" s="476"/>
      <c r="AC13" s="476"/>
      <c r="AD13" s="487">
        <f>SUM(AD9:AD12)</f>
        <v>0.65670091324200908</v>
      </c>
      <c r="AE13" s="487">
        <f>SUM(AE9:AE12)</f>
        <v>0.53062500000000001</v>
      </c>
      <c r="AF13" s="487">
        <f>AVERAGE(AF9:AF12)</f>
        <v>0.65670091324200908</v>
      </c>
      <c r="AG13" s="487">
        <f>AVERAGE(AG9:AG12)</f>
        <v>0.39979166666666671</v>
      </c>
    </row>
    <row r="14" spans="1:248" ht="65.099999999999994" customHeight="1">
      <c r="A14" s="317"/>
      <c r="B14" s="555"/>
      <c r="C14" s="557"/>
      <c r="D14" s="559"/>
      <c r="E14" s="312" t="s">
        <v>257</v>
      </c>
      <c r="F14" s="308" t="s">
        <v>197</v>
      </c>
      <c r="G14" s="310" t="s">
        <v>357</v>
      </c>
      <c r="H14" s="309" t="s">
        <v>238</v>
      </c>
      <c r="I14" s="311" t="s">
        <v>230</v>
      </c>
      <c r="J14" s="318" t="s">
        <v>623</v>
      </c>
      <c r="K14" s="309" t="s">
        <v>209</v>
      </c>
      <c r="L14" s="313">
        <v>0.5</v>
      </c>
      <c r="M14" s="311"/>
      <c r="N14" s="311" t="s">
        <v>254</v>
      </c>
      <c r="O14" s="309" t="s">
        <v>479</v>
      </c>
      <c r="P14" s="309">
        <v>1132</v>
      </c>
      <c r="Q14" s="309">
        <v>385</v>
      </c>
      <c r="R14" s="309">
        <v>367</v>
      </c>
      <c r="S14" s="309">
        <v>360</v>
      </c>
      <c r="T14" s="309">
        <v>360</v>
      </c>
      <c r="U14" s="309">
        <v>17</v>
      </c>
      <c r="V14" s="311">
        <f t="shared" si="0"/>
        <v>382</v>
      </c>
      <c r="W14" s="311"/>
      <c r="X14" s="311"/>
      <c r="Y14" s="309">
        <f t="shared" si="1"/>
        <v>399</v>
      </c>
      <c r="Z14" s="309">
        <v>208</v>
      </c>
      <c r="AA14" s="309">
        <f>1</f>
        <v>1</v>
      </c>
      <c r="AB14" s="309">
        <v>27</v>
      </c>
      <c r="AC14" s="309">
        <v>146</v>
      </c>
      <c r="AD14" s="486">
        <v>0.5</v>
      </c>
      <c r="AE14" s="487">
        <f t="shared" ref="AE14:AE40" si="3">Y14/P14*L14</f>
        <v>0.17623674911660778</v>
      </c>
      <c r="AF14" s="486">
        <v>1</v>
      </c>
      <c r="AG14" s="487">
        <f>+Y14/P14</f>
        <v>0.35247349823321555</v>
      </c>
    </row>
    <row r="15" spans="1:248" ht="65.099999999999994" customHeight="1">
      <c r="A15" s="317"/>
      <c r="B15" s="555"/>
      <c r="C15" s="557"/>
      <c r="D15" s="559"/>
      <c r="E15" s="319" t="s">
        <v>257</v>
      </c>
      <c r="F15" s="308" t="s">
        <v>197</v>
      </c>
      <c r="G15" s="320" t="s">
        <v>357</v>
      </c>
      <c r="H15" s="308" t="s">
        <v>239</v>
      </c>
      <c r="I15" s="307" t="s">
        <v>230</v>
      </c>
      <c r="J15" s="308" t="s">
        <v>624</v>
      </c>
      <c r="K15" s="308" t="s">
        <v>210</v>
      </c>
      <c r="L15" s="321">
        <v>0.5</v>
      </c>
      <c r="M15" s="307"/>
      <c r="N15" s="307" t="s">
        <v>254</v>
      </c>
      <c r="O15" s="308" t="s">
        <v>480</v>
      </c>
      <c r="P15" s="308">
        <v>320</v>
      </c>
      <c r="Q15" s="308">
        <v>100</v>
      </c>
      <c r="R15" s="308">
        <v>100</v>
      </c>
      <c r="S15" s="309">
        <v>105</v>
      </c>
      <c r="T15" s="309">
        <v>105</v>
      </c>
      <c r="U15" s="308">
        <v>19</v>
      </c>
      <c r="V15" s="311">
        <f t="shared" si="0"/>
        <v>100</v>
      </c>
      <c r="W15" s="307"/>
      <c r="X15" s="307"/>
      <c r="Y15" s="309">
        <f t="shared" si="1"/>
        <v>119</v>
      </c>
      <c r="Z15" s="308">
        <v>27</v>
      </c>
      <c r="AA15" s="308">
        <f>5+2+12</f>
        <v>19</v>
      </c>
      <c r="AB15" s="308">
        <v>6</v>
      </c>
      <c r="AC15" s="308">
        <v>48</v>
      </c>
      <c r="AD15" s="486">
        <f t="shared" ref="AD15:AD40" si="4">(V15/R15)*L15</f>
        <v>0.5</v>
      </c>
      <c r="AE15" s="487">
        <f t="shared" si="3"/>
        <v>0.18593750000000001</v>
      </c>
      <c r="AF15" s="486">
        <f t="shared" si="2"/>
        <v>1</v>
      </c>
      <c r="AG15" s="487">
        <f>+Y15/P15</f>
        <v>0.37187500000000001</v>
      </c>
    </row>
    <row r="16" spans="1:248" s="492" customFormat="1" ht="65.099999999999994" customHeight="1">
      <c r="A16" s="489" t="s">
        <v>726</v>
      </c>
      <c r="B16" s="555"/>
      <c r="C16" s="557"/>
      <c r="D16" s="559"/>
      <c r="E16" s="552" t="s">
        <v>726</v>
      </c>
      <c r="F16" s="552"/>
      <c r="G16" s="552"/>
      <c r="H16" s="552"/>
      <c r="I16" s="552"/>
      <c r="J16" s="552"/>
      <c r="K16" s="552"/>
      <c r="L16" s="552"/>
      <c r="M16" s="552"/>
      <c r="N16" s="552"/>
      <c r="O16" s="552"/>
      <c r="P16" s="552"/>
      <c r="Q16" s="552"/>
      <c r="R16" s="552"/>
      <c r="S16" s="552"/>
      <c r="T16" s="552"/>
      <c r="U16" s="552"/>
      <c r="V16" s="552"/>
      <c r="W16" s="552"/>
      <c r="X16" s="552"/>
      <c r="Y16" s="552"/>
      <c r="Z16" s="552"/>
      <c r="AA16" s="545"/>
      <c r="AB16" s="476"/>
      <c r="AC16" s="476"/>
      <c r="AD16" s="490">
        <f>SUM(AD14:AD15)</f>
        <v>1</v>
      </c>
      <c r="AE16" s="490">
        <f>SUM(AE14:AE15)</f>
        <v>0.36217424911660778</v>
      </c>
      <c r="AF16" s="490">
        <f>AVERAGE(AF14:AF15)</f>
        <v>1</v>
      </c>
      <c r="AG16" s="490">
        <f>AVERAGE(AG14:AG15)</f>
        <v>0.36217424911660778</v>
      </c>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c r="FF16" s="491"/>
      <c r="FG16" s="491"/>
      <c r="FH16" s="491"/>
      <c r="FI16" s="491"/>
      <c r="FJ16" s="491"/>
      <c r="FK16" s="491"/>
      <c r="FL16" s="491"/>
      <c r="FM16" s="491"/>
      <c r="FN16" s="491"/>
      <c r="FO16" s="491"/>
      <c r="FP16" s="491"/>
      <c r="FQ16" s="491"/>
      <c r="FR16" s="491"/>
      <c r="FS16" s="491"/>
      <c r="FT16" s="491"/>
      <c r="FU16" s="491"/>
      <c r="FV16" s="491"/>
      <c r="FW16" s="491"/>
      <c r="FX16" s="491"/>
      <c r="FY16" s="491"/>
      <c r="FZ16" s="491"/>
      <c r="GA16" s="491"/>
      <c r="GB16" s="491"/>
      <c r="GC16" s="491"/>
      <c r="GD16" s="491"/>
      <c r="GE16" s="491"/>
      <c r="GF16" s="491"/>
      <c r="GG16" s="491"/>
      <c r="GH16" s="491"/>
      <c r="GI16" s="491"/>
      <c r="GJ16" s="491"/>
      <c r="GK16" s="491"/>
      <c r="GL16" s="491"/>
      <c r="GM16" s="491"/>
      <c r="GN16" s="491"/>
      <c r="GO16" s="491"/>
      <c r="GP16" s="491"/>
      <c r="GQ16" s="491"/>
      <c r="GR16" s="491"/>
      <c r="GS16" s="491"/>
      <c r="GT16" s="491"/>
      <c r="GU16" s="491"/>
      <c r="GV16" s="491"/>
      <c r="GW16" s="491"/>
      <c r="GX16" s="491"/>
      <c r="GY16" s="491"/>
      <c r="GZ16" s="491"/>
      <c r="HA16" s="491"/>
      <c r="HB16" s="491"/>
      <c r="HC16" s="491"/>
      <c r="HD16" s="491"/>
      <c r="HE16" s="491"/>
      <c r="HF16" s="491"/>
      <c r="HG16" s="491"/>
      <c r="HH16" s="491"/>
      <c r="HI16" s="491"/>
      <c r="HJ16" s="491"/>
      <c r="HK16" s="491"/>
      <c r="HL16" s="491"/>
      <c r="HM16" s="491"/>
      <c r="HN16" s="491"/>
      <c r="HO16" s="491"/>
      <c r="HP16" s="491"/>
      <c r="HQ16" s="491"/>
      <c r="HR16" s="491"/>
      <c r="HS16" s="491"/>
      <c r="HT16" s="491"/>
      <c r="HU16" s="491"/>
      <c r="HV16" s="491"/>
      <c r="HW16" s="491"/>
      <c r="HX16" s="491"/>
      <c r="HY16" s="491"/>
      <c r="HZ16" s="491"/>
      <c r="IA16" s="491"/>
      <c r="IB16" s="491"/>
      <c r="IC16" s="491"/>
      <c r="ID16" s="491"/>
      <c r="IE16" s="491"/>
      <c r="IF16" s="491"/>
      <c r="IG16" s="491"/>
      <c r="IH16" s="491"/>
      <c r="II16" s="491"/>
      <c r="IJ16" s="491"/>
      <c r="IK16" s="491"/>
      <c r="IL16" s="491"/>
      <c r="IM16" s="491"/>
      <c r="IN16" s="491"/>
    </row>
    <row r="17" spans="1:33" ht="65.099999999999994" customHeight="1">
      <c r="A17" s="317"/>
      <c r="B17" s="555"/>
      <c r="C17" s="557"/>
      <c r="D17" s="559"/>
      <c r="E17" s="312" t="s">
        <v>258</v>
      </c>
      <c r="F17" s="309" t="s">
        <v>198</v>
      </c>
      <c r="G17" s="310" t="s">
        <v>358</v>
      </c>
      <c r="H17" s="309" t="s">
        <v>240</v>
      </c>
      <c r="I17" s="311" t="s">
        <v>230</v>
      </c>
      <c r="J17" s="318" t="s">
        <v>615</v>
      </c>
      <c r="K17" s="309" t="s">
        <v>211</v>
      </c>
      <c r="L17" s="313">
        <v>0.7</v>
      </c>
      <c r="M17" s="311" t="s">
        <v>254</v>
      </c>
      <c r="N17" s="311"/>
      <c r="O17" s="309" t="s">
        <v>481</v>
      </c>
      <c r="P17" s="309">
        <v>21500</v>
      </c>
      <c r="Q17" s="309">
        <v>5400</v>
      </c>
      <c r="R17" s="309">
        <v>5400</v>
      </c>
      <c r="S17" s="309">
        <v>5500</v>
      </c>
      <c r="T17" s="309">
        <v>5500</v>
      </c>
      <c r="U17" s="309">
        <v>7187</v>
      </c>
      <c r="V17" s="311">
        <f t="shared" si="0"/>
        <v>5326</v>
      </c>
      <c r="W17" s="311"/>
      <c r="X17" s="311"/>
      <c r="Y17" s="309">
        <f t="shared" si="1"/>
        <v>12513</v>
      </c>
      <c r="Z17" s="309">
        <v>300</v>
      </c>
      <c r="AA17" s="309">
        <f>682+294+362+205</f>
        <v>1543</v>
      </c>
      <c r="AB17" s="309">
        <v>434</v>
      </c>
      <c r="AC17" s="309">
        <v>3049</v>
      </c>
      <c r="AD17" s="486">
        <f t="shared" si="4"/>
        <v>0.69040740740740736</v>
      </c>
      <c r="AE17" s="487">
        <f t="shared" si="3"/>
        <v>0.40739999999999993</v>
      </c>
      <c r="AF17" s="486">
        <f t="shared" si="2"/>
        <v>0.98629629629629634</v>
      </c>
      <c r="AG17" s="487">
        <f>+Y17/P17</f>
        <v>0.58199999999999996</v>
      </c>
    </row>
    <row r="18" spans="1:33" ht="65.099999999999994" customHeight="1">
      <c r="A18" s="317"/>
      <c r="B18" s="555"/>
      <c r="C18" s="557"/>
      <c r="D18" s="559"/>
      <c r="E18" s="312" t="s">
        <v>258</v>
      </c>
      <c r="F18" s="309" t="s">
        <v>198</v>
      </c>
      <c r="G18" s="310" t="s">
        <v>358</v>
      </c>
      <c r="H18" s="309" t="s">
        <v>241</v>
      </c>
      <c r="I18" s="311" t="s">
        <v>230</v>
      </c>
      <c r="J18" s="309" t="s">
        <v>625</v>
      </c>
      <c r="K18" s="309" t="s">
        <v>212</v>
      </c>
      <c r="L18" s="313">
        <v>0.3</v>
      </c>
      <c r="M18" s="311" t="s">
        <v>254</v>
      </c>
      <c r="N18" s="311"/>
      <c r="O18" s="309" t="s">
        <v>482</v>
      </c>
      <c r="P18" s="309">
        <v>12</v>
      </c>
      <c r="Q18" s="309">
        <v>3</v>
      </c>
      <c r="R18" s="309">
        <v>3</v>
      </c>
      <c r="S18" s="309">
        <v>3</v>
      </c>
      <c r="T18" s="309">
        <v>3</v>
      </c>
      <c r="U18" s="309">
        <v>4</v>
      </c>
      <c r="V18" s="311">
        <f t="shared" si="0"/>
        <v>3</v>
      </c>
      <c r="W18" s="311"/>
      <c r="X18" s="311"/>
      <c r="Y18" s="309">
        <f t="shared" si="1"/>
        <v>7</v>
      </c>
      <c r="Z18" s="309">
        <v>0.5</v>
      </c>
      <c r="AA18" s="309">
        <f>1</f>
        <v>1</v>
      </c>
      <c r="AB18" s="309">
        <v>0.5</v>
      </c>
      <c r="AC18" s="309">
        <v>1</v>
      </c>
      <c r="AD18" s="486">
        <f t="shared" si="4"/>
        <v>0.3</v>
      </c>
      <c r="AE18" s="487">
        <f t="shared" si="3"/>
        <v>0.17500000000000002</v>
      </c>
      <c r="AF18" s="486">
        <f t="shared" si="2"/>
        <v>1</v>
      </c>
      <c r="AG18" s="487">
        <f>+Y18/P18</f>
        <v>0.58333333333333337</v>
      </c>
    </row>
    <row r="19" spans="1:33" ht="65.099999999999994" customHeight="1">
      <c r="A19" s="475" t="s">
        <v>727</v>
      </c>
      <c r="B19" s="485"/>
      <c r="C19" s="558"/>
      <c r="D19" s="559"/>
      <c r="E19" s="544" t="s">
        <v>727</v>
      </c>
      <c r="F19" s="552"/>
      <c r="G19" s="552"/>
      <c r="H19" s="552"/>
      <c r="I19" s="552"/>
      <c r="J19" s="552"/>
      <c r="K19" s="552"/>
      <c r="L19" s="552"/>
      <c r="M19" s="552"/>
      <c r="N19" s="552"/>
      <c r="O19" s="552"/>
      <c r="P19" s="552"/>
      <c r="Q19" s="552"/>
      <c r="R19" s="552"/>
      <c r="S19" s="552"/>
      <c r="T19" s="552"/>
      <c r="U19" s="552"/>
      <c r="V19" s="552"/>
      <c r="W19" s="552"/>
      <c r="X19" s="552"/>
      <c r="Y19" s="552"/>
      <c r="Z19" s="552"/>
      <c r="AA19" s="552"/>
      <c r="AB19" s="485"/>
      <c r="AC19" s="485"/>
      <c r="AD19" s="487">
        <f>SUM(AD17:AD18)</f>
        <v>0.9904074074074074</v>
      </c>
      <c r="AE19" s="487">
        <f>SUM(AE17:AE18)</f>
        <v>0.58239999999999992</v>
      </c>
      <c r="AF19" s="487">
        <f>AVERAGE(AF17:AF18)</f>
        <v>0.99314814814814811</v>
      </c>
      <c r="AG19" s="487">
        <f>AVERAGE(AG17:AG18)</f>
        <v>0.58266666666666667</v>
      </c>
    </row>
    <row r="20" spans="1:33" ht="65.099999999999994" customHeight="1">
      <c r="A20" s="314"/>
      <c r="B20" s="315"/>
      <c r="C20" s="314"/>
      <c r="D20" s="314"/>
      <c r="E20" s="309" t="s">
        <v>257</v>
      </c>
      <c r="F20" s="308" t="s">
        <v>199</v>
      </c>
      <c r="G20" s="310" t="s">
        <v>361</v>
      </c>
      <c r="H20" s="309" t="s">
        <v>242</v>
      </c>
      <c r="I20" s="311" t="s">
        <v>230</v>
      </c>
      <c r="J20" s="318" t="s">
        <v>616</v>
      </c>
      <c r="K20" s="309" t="s">
        <v>213</v>
      </c>
      <c r="L20" s="313">
        <v>0.4</v>
      </c>
      <c r="M20" s="311"/>
      <c r="N20" s="311" t="s">
        <v>254</v>
      </c>
      <c r="O20" s="309" t="s">
        <v>483</v>
      </c>
      <c r="P20" s="309">
        <v>26800</v>
      </c>
      <c r="Q20" s="309">
        <v>6700</v>
      </c>
      <c r="R20" s="309">
        <v>6700</v>
      </c>
      <c r="S20" s="309">
        <v>6700</v>
      </c>
      <c r="T20" s="309">
        <v>6700</v>
      </c>
      <c r="U20" s="309">
        <v>6762</v>
      </c>
      <c r="V20" s="311">
        <f t="shared" si="0"/>
        <v>6603</v>
      </c>
      <c r="W20" s="311"/>
      <c r="X20" s="311"/>
      <c r="Y20" s="309">
        <f t="shared" si="1"/>
        <v>13365</v>
      </c>
      <c r="Z20" s="309">
        <v>1239</v>
      </c>
      <c r="AA20" s="309">
        <f>4537+659</f>
        <v>5196</v>
      </c>
      <c r="AB20" s="309">
        <v>0</v>
      </c>
      <c r="AC20" s="309">
        <v>168</v>
      </c>
      <c r="AD20" s="486">
        <f t="shared" si="4"/>
        <v>0.39420895522388061</v>
      </c>
      <c r="AE20" s="487">
        <f t="shared" si="3"/>
        <v>0.19947761194029853</v>
      </c>
      <c r="AF20" s="486">
        <f t="shared" si="2"/>
        <v>0.98552238805970149</v>
      </c>
      <c r="AG20" s="487">
        <f>+Y20/P20</f>
        <v>0.49869402985074629</v>
      </c>
    </row>
    <row r="21" spans="1:33" ht="65.099999999999994" customHeight="1">
      <c r="A21" s="314"/>
      <c r="B21" s="315"/>
      <c r="C21" s="314"/>
      <c r="D21" s="314"/>
      <c r="E21" s="560" t="s">
        <v>257</v>
      </c>
      <c r="F21" s="562" t="s">
        <v>199</v>
      </c>
      <c r="G21" s="564" t="s">
        <v>361</v>
      </c>
      <c r="H21" s="309" t="s">
        <v>243</v>
      </c>
      <c r="I21" s="311" t="s">
        <v>230</v>
      </c>
      <c r="J21" s="322" t="s">
        <v>626</v>
      </c>
      <c r="K21" s="309" t="s">
        <v>780</v>
      </c>
      <c r="L21" s="313">
        <v>0.05</v>
      </c>
      <c r="M21" s="565"/>
      <c r="N21" s="311" t="s">
        <v>254</v>
      </c>
      <c r="O21" s="309" t="s">
        <v>484</v>
      </c>
      <c r="P21" s="311">
        <v>55</v>
      </c>
      <c r="Q21" s="309">
        <v>55</v>
      </c>
      <c r="R21" s="309">
        <f>55</f>
        <v>55</v>
      </c>
      <c r="S21" s="309">
        <v>55</v>
      </c>
      <c r="T21" s="309">
        <v>55</v>
      </c>
      <c r="U21" s="308">
        <v>55</v>
      </c>
      <c r="V21" s="501">
        <v>55</v>
      </c>
      <c r="W21" s="473"/>
      <c r="X21" s="473"/>
      <c r="Y21" s="481">
        <v>55</v>
      </c>
      <c r="Z21" s="322">
        <f>T21</f>
        <v>55</v>
      </c>
      <c r="AA21" s="322">
        <f>U21</f>
        <v>55</v>
      </c>
      <c r="AB21" s="322">
        <v>0</v>
      </c>
      <c r="AC21" s="322">
        <v>0</v>
      </c>
      <c r="AD21" s="486">
        <f>(U21/R21)*L21</f>
        <v>0.05</v>
      </c>
      <c r="AE21" s="487">
        <f>U21/P21*L21</f>
        <v>0.05</v>
      </c>
      <c r="AF21" s="486">
        <v>1</v>
      </c>
      <c r="AG21" s="487">
        <f>110/220</f>
        <v>0.5</v>
      </c>
    </row>
    <row r="22" spans="1:33" ht="65.099999999999994" customHeight="1">
      <c r="A22" s="314"/>
      <c r="B22" s="315"/>
      <c r="C22" s="314"/>
      <c r="D22" s="314"/>
      <c r="E22" s="561"/>
      <c r="F22" s="563"/>
      <c r="G22" s="564"/>
      <c r="H22" s="309" t="s">
        <v>243</v>
      </c>
      <c r="I22" s="311" t="s">
        <v>230</v>
      </c>
      <c r="J22" s="322" t="s">
        <v>626</v>
      </c>
      <c r="K22" s="309" t="s">
        <v>817</v>
      </c>
      <c r="L22" s="313">
        <v>0.05</v>
      </c>
      <c r="M22" s="566"/>
      <c r="N22" s="311" t="s">
        <v>781</v>
      </c>
      <c r="O22" s="309" t="s">
        <v>484</v>
      </c>
      <c r="P22" s="311">
        <v>6</v>
      </c>
      <c r="Q22" s="324">
        <v>2</v>
      </c>
      <c r="R22" s="309">
        <v>2</v>
      </c>
      <c r="S22" s="323">
        <v>2</v>
      </c>
      <c r="T22" s="323">
        <v>2</v>
      </c>
      <c r="U22" s="481">
        <v>0</v>
      </c>
      <c r="V22" s="311">
        <f t="shared" si="0"/>
        <v>4</v>
      </c>
      <c r="W22" s="311"/>
      <c r="X22" s="311"/>
      <c r="Y22" s="309">
        <f t="shared" si="1"/>
        <v>4</v>
      </c>
      <c r="Z22" s="309">
        <v>0</v>
      </c>
      <c r="AA22" s="481">
        <v>4</v>
      </c>
      <c r="AB22" s="309">
        <v>0</v>
      </c>
      <c r="AC22" s="309">
        <v>0</v>
      </c>
      <c r="AD22" s="486">
        <f>(2/R22)*L22</f>
        <v>0.05</v>
      </c>
      <c r="AE22" s="487">
        <f>V22/P22*L22</f>
        <v>3.3333333333333333E-2</v>
      </c>
      <c r="AF22" s="486">
        <v>1</v>
      </c>
      <c r="AG22" s="487">
        <f t="shared" ref="AG22:AG38" si="5">+V22/P22</f>
        <v>0.66666666666666663</v>
      </c>
    </row>
    <row r="23" spans="1:33" ht="65.099999999999994" customHeight="1">
      <c r="A23" s="314"/>
      <c r="B23" s="315"/>
      <c r="C23" s="314"/>
      <c r="D23" s="314"/>
      <c r="E23" s="309" t="s">
        <v>257</v>
      </c>
      <c r="F23" s="308" t="s">
        <v>199</v>
      </c>
      <c r="G23" s="310" t="s">
        <v>361</v>
      </c>
      <c r="H23" s="309" t="s">
        <v>244</v>
      </c>
      <c r="I23" s="311" t="s">
        <v>230</v>
      </c>
      <c r="J23" s="311" t="s">
        <v>229</v>
      </c>
      <c r="K23" s="309" t="s">
        <v>215</v>
      </c>
      <c r="L23" s="313">
        <v>0.15</v>
      </c>
      <c r="M23" s="311"/>
      <c r="N23" s="311" t="s">
        <v>254</v>
      </c>
      <c r="O23" s="309" t="s">
        <v>705</v>
      </c>
      <c r="P23" s="309">
        <v>4</v>
      </c>
      <c r="Q23" s="309">
        <v>2</v>
      </c>
      <c r="R23" s="309">
        <v>2</v>
      </c>
      <c r="S23" s="309">
        <v>1</v>
      </c>
      <c r="T23" s="309">
        <v>1</v>
      </c>
      <c r="U23" s="309">
        <v>0</v>
      </c>
      <c r="V23" s="311">
        <f t="shared" si="0"/>
        <v>4</v>
      </c>
      <c r="W23" s="311"/>
      <c r="X23" s="311"/>
      <c r="Y23" s="309">
        <f t="shared" si="1"/>
        <v>4</v>
      </c>
      <c r="Z23" s="309">
        <v>0</v>
      </c>
      <c r="AA23" s="309">
        <v>0</v>
      </c>
      <c r="AB23" s="309">
        <v>0</v>
      </c>
      <c r="AC23" s="309">
        <v>4</v>
      </c>
      <c r="AD23" s="486">
        <f>(2/R23)*L23</f>
        <v>0.15</v>
      </c>
      <c r="AE23" s="487">
        <f t="shared" si="3"/>
        <v>0.15</v>
      </c>
      <c r="AF23" s="486">
        <v>1</v>
      </c>
      <c r="AG23" s="487">
        <f t="shared" si="5"/>
        <v>1</v>
      </c>
    </row>
    <row r="24" spans="1:33" ht="65.099999999999994" customHeight="1">
      <c r="A24" s="314"/>
      <c r="B24" s="315"/>
      <c r="C24" s="314"/>
      <c r="D24" s="314"/>
      <c r="E24" s="309" t="s">
        <v>257</v>
      </c>
      <c r="F24" s="308" t="s">
        <v>199</v>
      </c>
      <c r="G24" s="310" t="s">
        <v>361</v>
      </c>
      <c r="H24" s="309" t="s">
        <v>245</v>
      </c>
      <c r="I24" s="311" t="s">
        <v>230</v>
      </c>
      <c r="J24" s="318" t="s">
        <v>627</v>
      </c>
      <c r="K24" s="309" t="s">
        <v>216</v>
      </c>
      <c r="L24" s="313">
        <v>0.25</v>
      </c>
      <c r="M24" s="311"/>
      <c r="N24" s="311" t="s">
        <v>254</v>
      </c>
      <c r="O24" s="309" t="s">
        <v>486</v>
      </c>
      <c r="P24" s="309">
        <v>28000</v>
      </c>
      <c r="Q24" s="309">
        <v>7000</v>
      </c>
      <c r="R24" s="309">
        <v>7000</v>
      </c>
      <c r="S24" s="309">
        <v>7000</v>
      </c>
      <c r="T24" s="309">
        <v>7000</v>
      </c>
      <c r="U24" s="309">
        <v>7166</v>
      </c>
      <c r="V24" s="311">
        <f t="shared" si="0"/>
        <v>9736</v>
      </c>
      <c r="W24" s="311"/>
      <c r="X24" s="311"/>
      <c r="Y24" s="309">
        <f t="shared" si="1"/>
        <v>16902</v>
      </c>
      <c r="Z24" s="309">
        <v>429</v>
      </c>
      <c r="AA24" s="309">
        <f>8093+1214</f>
        <v>9307</v>
      </c>
      <c r="AB24" s="309">
        <v>0</v>
      </c>
      <c r="AC24" s="309">
        <v>0</v>
      </c>
      <c r="AD24" s="486">
        <f>(7000/R24)*L24</f>
        <v>0.25</v>
      </c>
      <c r="AE24" s="487">
        <f t="shared" si="3"/>
        <v>0.15091071428571429</v>
      </c>
      <c r="AF24" s="486">
        <v>1</v>
      </c>
      <c r="AG24" s="487">
        <f>+Y24/P24</f>
        <v>0.60364285714285715</v>
      </c>
    </row>
    <row r="25" spans="1:33" ht="65.099999999999994" customHeight="1">
      <c r="A25" s="314"/>
      <c r="B25" s="315"/>
      <c r="C25" s="314"/>
      <c r="D25" s="314"/>
      <c r="E25" s="309" t="s">
        <v>257</v>
      </c>
      <c r="F25" s="308" t="s">
        <v>199</v>
      </c>
      <c r="G25" s="310" t="s">
        <v>361</v>
      </c>
      <c r="H25" s="309" t="s">
        <v>246</v>
      </c>
      <c r="I25" s="311" t="s">
        <v>230</v>
      </c>
      <c r="J25" s="309" t="s">
        <v>617</v>
      </c>
      <c r="K25" s="309" t="s">
        <v>217</v>
      </c>
      <c r="L25" s="313">
        <v>0.1</v>
      </c>
      <c r="M25" s="311"/>
      <c r="N25" s="311" t="s">
        <v>254</v>
      </c>
      <c r="O25" s="309" t="s">
        <v>485</v>
      </c>
      <c r="P25" s="397">
        <v>200</v>
      </c>
      <c r="Q25" s="481">
        <v>172</v>
      </c>
      <c r="R25" s="481">
        <v>10</v>
      </c>
      <c r="S25" s="481">
        <v>10</v>
      </c>
      <c r="T25" s="481">
        <v>8</v>
      </c>
      <c r="U25" s="309">
        <v>140</v>
      </c>
      <c r="V25" s="311">
        <f t="shared" si="0"/>
        <v>31</v>
      </c>
      <c r="W25" s="311"/>
      <c r="X25" s="311"/>
      <c r="Y25" s="309">
        <f t="shared" si="1"/>
        <v>171</v>
      </c>
      <c r="Z25" s="309">
        <v>0</v>
      </c>
      <c r="AA25" s="395"/>
      <c r="AB25" s="395">
        <v>31</v>
      </c>
      <c r="AC25" s="309">
        <v>0</v>
      </c>
      <c r="AD25" s="486">
        <v>0.1</v>
      </c>
      <c r="AE25" s="487">
        <f>V25/P25*L25</f>
        <v>1.55E-2</v>
      </c>
      <c r="AF25" s="486">
        <v>1</v>
      </c>
      <c r="AG25" s="487">
        <f>+V25/P25</f>
        <v>0.155</v>
      </c>
    </row>
    <row r="26" spans="1:33" ht="65.099999999999994" customHeight="1">
      <c r="A26" s="314"/>
      <c r="B26" s="315"/>
      <c r="C26" s="314"/>
      <c r="D26" s="314"/>
      <c r="E26" s="544" t="s">
        <v>728</v>
      </c>
      <c r="F26" s="552"/>
      <c r="G26" s="552"/>
      <c r="H26" s="552"/>
      <c r="I26" s="552"/>
      <c r="J26" s="552"/>
      <c r="K26" s="552"/>
      <c r="L26" s="552"/>
      <c r="M26" s="552"/>
      <c r="N26" s="552"/>
      <c r="O26" s="552"/>
      <c r="P26" s="552"/>
      <c r="Q26" s="552"/>
      <c r="R26" s="552"/>
      <c r="S26" s="552"/>
      <c r="T26" s="552"/>
      <c r="U26" s="552"/>
      <c r="V26" s="552"/>
      <c r="W26" s="552"/>
      <c r="X26" s="552"/>
      <c r="Y26" s="552"/>
      <c r="Z26" s="552"/>
      <c r="AA26" s="545"/>
      <c r="AB26" s="476"/>
      <c r="AC26" s="476"/>
      <c r="AD26" s="487">
        <f>SUM(AD20:AD25)</f>
        <v>0.99420895522388053</v>
      </c>
      <c r="AE26" s="490">
        <f>SUM(AE20:AE25)</f>
        <v>0.59922165955934614</v>
      </c>
      <c r="AF26" s="487">
        <f>AVERAGE(AF20:AF25)</f>
        <v>0.99758706467661684</v>
      </c>
      <c r="AG26" s="490">
        <f>AVERAGE(AG20:AG25)</f>
        <v>0.57066725894337833</v>
      </c>
    </row>
    <row r="27" spans="1:33" ht="65.099999999999994" customHeight="1">
      <c r="A27" s="314"/>
      <c r="B27" s="315"/>
      <c r="C27" s="314"/>
      <c r="D27" s="314"/>
      <c r="E27" s="309" t="s">
        <v>257</v>
      </c>
      <c r="F27" s="309" t="s">
        <v>200</v>
      </c>
      <c r="G27" s="310" t="s">
        <v>362</v>
      </c>
      <c r="H27" s="309" t="s">
        <v>247</v>
      </c>
      <c r="I27" s="311" t="s">
        <v>230</v>
      </c>
      <c r="J27" s="318" t="s">
        <v>618</v>
      </c>
      <c r="K27" s="309" t="s">
        <v>218</v>
      </c>
      <c r="L27" s="313">
        <v>1</v>
      </c>
      <c r="M27" s="311"/>
      <c r="N27" s="311" t="s">
        <v>254</v>
      </c>
      <c r="O27" s="309" t="s">
        <v>486</v>
      </c>
      <c r="P27" s="318">
        <v>61000</v>
      </c>
      <c r="Q27" s="309">
        <v>15250</v>
      </c>
      <c r="R27" s="309">
        <v>15250</v>
      </c>
      <c r="S27" s="309">
        <v>15250</v>
      </c>
      <c r="T27" s="309">
        <v>15250</v>
      </c>
      <c r="U27" s="309">
        <v>15578</v>
      </c>
      <c r="V27" s="311">
        <f t="shared" si="0"/>
        <v>14094</v>
      </c>
      <c r="W27" s="311"/>
      <c r="X27" s="311"/>
      <c r="Y27" s="309">
        <f t="shared" si="1"/>
        <v>29672</v>
      </c>
      <c r="Z27" s="309">
        <f>129+135</f>
        <v>264</v>
      </c>
      <c r="AA27" s="309">
        <f>1601+3400</f>
        <v>5001</v>
      </c>
      <c r="AB27" s="309">
        <v>3468</v>
      </c>
      <c r="AC27" s="309">
        <v>5361</v>
      </c>
      <c r="AD27" s="486">
        <f t="shared" si="4"/>
        <v>0.92419672131147546</v>
      </c>
      <c r="AE27" s="487">
        <f t="shared" si="3"/>
        <v>0.48642622950819669</v>
      </c>
      <c r="AF27" s="493">
        <f t="shared" si="2"/>
        <v>0.92419672131147546</v>
      </c>
      <c r="AG27" s="487">
        <f>+Y27/P27</f>
        <v>0.48642622950819669</v>
      </c>
    </row>
    <row r="28" spans="1:33" ht="65.099999999999994" customHeight="1">
      <c r="A28" s="314"/>
      <c r="B28" s="315"/>
      <c r="C28" s="314"/>
      <c r="D28" s="314"/>
      <c r="E28" s="544" t="s">
        <v>733</v>
      </c>
      <c r="F28" s="552"/>
      <c r="G28" s="552"/>
      <c r="H28" s="552"/>
      <c r="I28" s="552"/>
      <c r="J28" s="552"/>
      <c r="K28" s="552"/>
      <c r="L28" s="552"/>
      <c r="M28" s="552"/>
      <c r="N28" s="552"/>
      <c r="O28" s="552"/>
      <c r="P28" s="552"/>
      <c r="Q28" s="552"/>
      <c r="R28" s="552"/>
      <c r="S28" s="485"/>
      <c r="T28" s="485"/>
      <c r="U28" s="485"/>
      <c r="V28" s="485"/>
      <c r="W28" s="485"/>
      <c r="X28" s="485"/>
      <c r="Y28" s="485"/>
      <c r="Z28" s="485"/>
      <c r="AA28" s="485"/>
      <c r="AB28" s="485"/>
      <c r="AC28" s="485"/>
      <c r="AD28" s="487">
        <f>SUM(AD27)</f>
        <v>0.92419672131147546</v>
      </c>
      <c r="AE28" s="487">
        <f>SUM(AE27)</f>
        <v>0.48642622950819669</v>
      </c>
      <c r="AF28" s="487">
        <f>AVERAGE(AF27)</f>
        <v>0.92419672131147546</v>
      </c>
      <c r="AG28" s="487">
        <f>AVERAGE(AG27)</f>
        <v>0.48642622950819669</v>
      </c>
    </row>
    <row r="29" spans="1:33" ht="65.099999999999994" customHeight="1">
      <c r="A29" s="314"/>
      <c r="B29" s="315"/>
      <c r="C29" s="314"/>
      <c r="D29" s="314"/>
      <c r="E29" s="309" t="s">
        <v>259</v>
      </c>
      <c r="F29" s="308" t="s">
        <v>201</v>
      </c>
      <c r="G29" s="310" t="s">
        <v>363</v>
      </c>
      <c r="H29" s="309" t="s">
        <v>248</v>
      </c>
      <c r="I29" s="311" t="s">
        <v>230</v>
      </c>
      <c r="J29" s="318" t="s">
        <v>628</v>
      </c>
      <c r="K29" s="309" t="s">
        <v>219</v>
      </c>
      <c r="L29" s="313">
        <v>0.55000000000000004</v>
      </c>
      <c r="M29" s="311"/>
      <c r="N29" s="311" t="s">
        <v>254</v>
      </c>
      <c r="O29" s="309" t="s">
        <v>486</v>
      </c>
      <c r="P29" s="309">
        <v>180000</v>
      </c>
      <c r="Q29" s="309">
        <v>45000</v>
      </c>
      <c r="R29" s="309">
        <v>47300</v>
      </c>
      <c r="S29" s="309">
        <v>45000</v>
      </c>
      <c r="T29" s="309">
        <v>45000</v>
      </c>
      <c r="U29" s="309">
        <v>57272</v>
      </c>
      <c r="V29" s="311">
        <f t="shared" si="0"/>
        <v>59645</v>
      </c>
      <c r="W29" s="311"/>
      <c r="X29" s="311"/>
      <c r="Y29" s="309">
        <f t="shared" si="1"/>
        <v>116917</v>
      </c>
      <c r="Z29" s="318">
        <v>4292</v>
      </c>
      <c r="AA29" s="318">
        <f>11067+10859+5640+2635</f>
        <v>30201</v>
      </c>
      <c r="AB29" s="396">
        <v>11688</v>
      </c>
      <c r="AC29" s="318">
        <v>13464</v>
      </c>
      <c r="AD29" s="486">
        <v>0.55000000000000004</v>
      </c>
      <c r="AE29" s="487">
        <f t="shared" si="3"/>
        <v>0.35724638888888893</v>
      </c>
      <c r="AF29" s="486">
        <v>1</v>
      </c>
      <c r="AG29" s="487">
        <f>+Y29/P29</f>
        <v>0.64953888888888889</v>
      </c>
    </row>
    <row r="30" spans="1:33" ht="65.099999999999994" customHeight="1">
      <c r="A30" s="314"/>
      <c r="B30" s="315"/>
      <c r="C30" s="314"/>
      <c r="D30" s="314"/>
      <c r="E30" s="309" t="s">
        <v>259</v>
      </c>
      <c r="F30" s="308" t="s">
        <v>201</v>
      </c>
      <c r="G30" s="310" t="s">
        <v>363</v>
      </c>
      <c r="H30" s="309" t="s">
        <v>249</v>
      </c>
      <c r="I30" s="311" t="s">
        <v>230</v>
      </c>
      <c r="J30" s="318" t="s">
        <v>629</v>
      </c>
      <c r="K30" s="309" t="s">
        <v>220</v>
      </c>
      <c r="L30" s="313">
        <v>0.45</v>
      </c>
      <c r="M30" s="311"/>
      <c r="N30" s="311" t="s">
        <v>254</v>
      </c>
      <c r="O30" s="309" t="s">
        <v>486</v>
      </c>
      <c r="P30" s="309">
        <v>120000</v>
      </c>
      <c r="Q30" s="309">
        <v>30000</v>
      </c>
      <c r="R30" s="309">
        <v>30744</v>
      </c>
      <c r="S30" s="309">
        <v>30000</v>
      </c>
      <c r="T30" s="309">
        <v>30000</v>
      </c>
      <c r="U30" s="309">
        <v>33718</v>
      </c>
      <c r="V30" s="311">
        <f t="shared" si="0"/>
        <v>55347</v>
      </c>
      <c r="W30" s="311"/>
      <c r="X30" s="311"/>
      <c r="Y30" s="309">
        <f t="shared" si="1"/>
        <v>89065</v>
      </c>
      <c r="Z30" s="309">
        <v>10000</v>
      </c>
      <c r="AA30" s="309">
        <f>5829+4238+5862</f>
        <v>15929</v>
      </c>
      <c r="AB30" s="396">
        <v>12750</v>
      </c>
      <c r="AC30" s="396">
        <v>16668</v>
      </c>
      <c r="AD30" s="486">
        <v>0.45</v>
      </c>
      <c r="AE30" s="487">
        <f t="shared" si="3"/>
        <v>0.33399375000000003</v>
      </c>
      <c r="AF30" s="486">
        <v>1</v>
      </c>
      <c r="AG30" s="487">
        <f>+Y30/P30</f>
        <v>0.74220833333333336</v>
      </c>
    </row>
    <row r="31" spans="1:33" ht="65.099999999999994" customHeight="1">
      <c r="A31" s="314"/>
      <c r="B31" s="315"/>
      <c r="C31" s="314"/>
      <c r="D31" s="314"/>
      <c r="E31" s="553" t="s">
        <v>729</v>
      </c>
      <c r="F31" s="553"/>
      <c r="G31" s="553"/>
      <c r="H31" s="553"/>
      <c r="I31" s="553"/>
      <c r="J31" s="553"/>
      <c r="K31" s="553"/>
      <c r="L31" s="553"/>
      <c r="M31" s="553"/>
      <c r="N31" s="553"/>
      <c r="O31" s="553"/>
      <c r="P31" s="553"/>
      <c r="Q31" s="553"/>
      <c r="R31" s="553"/>
      <c r="S31" s="485"/>
      <c r="T31" s="485"/>
      <c r="U31" s="485"/>
      <c r="V31" s="485"/>
      <c r="W31" s="485"/>
      <c r="X31" s="485"/>
      <c r="Y31" s="485"/>
      <c r="Z31" s="485"/>
      <c r="AA31" s="485"/>
      <c r="AB31" s="485"/>
      <c r="AC31" s="485"/>
      <c r="AD31" s="487">
        <f>SUM(AD29:AD30)</f>
        <v>1</v>
      </c>
      <c r="AE31" s="487">
        <f>SUM(AE29:AE30)</f>
        <v>0.69124013888888891</v>
      </c>
      <c r="AF31" s="487">
        <f>AVERAGE(AF29:AF30)</f>
        <v>1</v>
      </c>
      <c r="AG31" s="487">
        <f>AVERAGE(AG29:AG30)</f>
        <v>0.69587361111111112</v>
      </c>
    </row>
    <row r="32" spans="1:33" ht="65.099999999999994" customHeight="1">
      <c r="A32" s="314"/>
      <c r="B32" s="315"/>
      <c r="C32" s="314"/>
      <c r="D32" s="314"/>
      <c r="E32" s="309" t="s">
        <v>257</v>
      </c>
      <c r="F32" s="309" t="s">
        <v>202</v>
      </c>
      <c r="G32" s="310" t="s">
        <v>364</v>
      </c>
      <c r="H32" s="309" t="s">
        <v>250</v>
      </c>
      <c r="I32" s="311" t="s">
        <v>230</v>
      </c>
      <c r="J32" s="309" t="s">
        <v>619</v>
      </c>
      <c r="K32" s="309" t="s">
        <v>221</v>
      </c>
      <c r="L32" s="313">
        <v>0.2</v>
      </c>
      <c r="M32" s="311"/>
      <c r="N32" s="311" t="s">
        <v>254</v>
      </c>
      <c r="O32" s="309" t="s">
        <v>487</v>
      </c>
      <c r="P32" s="309">
        <v>200</v>
      </c>
      <c r="Q32" s="309">
        <v>60</v>
      </c>
      <c r="R32" s="309">
        <v>60</v>
      </c>
      <c r="S32" s="309">
        <v>60</v>
      </c>
      <c r="T32" s="309">
        <v>60</v>
      </c>
      <c r="U32" s="309">
        <v>70</v>
      </c>
      <c r="V32" s="311">
        <f t="shared" si="0"/>
        <v>66</v>
      </c>
      <c r="W32" s="311"/>
      <c r="X32" s="311"/>
      <c r="Y32" s="309">
        <f t="shared" si="1"/>
        <v>136</v>
      </c>
      <c r="Z32" s="309">
        <v>5</v>
      </c>
      <c r="AA32" s="309">
        <f>3+4+2+1</f>
        <v>10</v>
      </c>
      <c r="AB32" s="396">
        <v>8</v>
      </c>
      <c r="AC32" s="396">
        <v>43</v>
      </c>
      <c r="AD32" s="486">
        <v>0.2</v>
      </c>
      <c r="AE32" s="487">
        <f>Y32/P32*L32</f>
        <v>0.13600000000000001</v>
      </c>
      <c r="AF32" s="486">
        <f t="shared" si="2"/>
        <v>1.1000000000000001</v>
      </c>
      <c r="AG32" s="487">
        <f>+Y32/P32</f>
        <v>0.68</v>
      </c>
    </row>
    <row r="33" spans="1:33" ht="65.099999999999994" customHeight="1">
      <c r="A33" s="314"/>
      <c r="B33" s="315"/>
      <c r="C33" s="314"/>
      <c r="D33" s="314"/>
      <c r="E33" s="309" t="s">
        <v>257</v>
      </c>
      <c r="F33" s="309" t="s">
        <v>202</v>
      </c>
      <c r="G33" s="310" t="s">
        <v>364</v>
      </c>
      <c r="H33" s="309" t="s">
        <v>251</v>
      </c>
      <c r="I33" s="311" t="s">
        <v>230</v>
      </c>
      <c r="J33" s="318" t="s">
        <v>630</v>
      </c>
      <c r="K33" s="309" t="s">
        <v>222</v>
      </c>
      <c r="L33" s="313">
        <v>0.35</v>
      </c>
      <c r="M33" s="311"/>
      <c r="N33" s="311" t="s">
        <v>254</v>
      </c>
      <c r="O33" s="309" t="s">
        <v>486</v>
      </c>
      <c r="P33" s="309">
        <v>60000</v>
      </c>
      <c r="Q33" s="309">
        <f t="shared" ref="Q33:T33" si="6">60000/4</f>
        <v>15000</v>
      </c>
      <c r="R33" s="309">
        <f t="shared" si="6"/>
        <v>15000</v>
      </c>
      <c r="S33" s="309">
        <f t="shared" si="6"/>
        <v>15000</v>
      </c>
      <c r="T33" s="309">
        <f t="shared" si="6"/>
        <v>15000</v>
      </c>
      <c r="U33" s="309">
        <v>20000</v>
      </c>
      <c r="V33" s="311">
        <f t="shared" si="0"/>
        <v>192376</v>
      </c>
      <c r="W33" s="311"/>
      <c r="X33" s="311"/>
      <c r="Y33" s="309">
        <f t="shared" si="1"/>
        <v>212376</v>
      </c>
      <c r="Z33" s="309">
        <f>500+8661+247+242+1090+2092+805+691</f>
        <v>14328</v>
      </c>
      <c r="AA33" s="309">
        <f>78+132+1104+9729+7292+15309+80+78+1046+798+261+556+891+145+1650</f>
        <v>39149</v>
      </c>
      <c r="AB33" s="396">
        <v>7057</v>
      </c>
      <c r="AC33" s="396">
        <v>131842</v>
      </c>
      <c r="AD33" s="486">
        <v>0.35</v>
      </c>
      <c r="AE33" s="494">
        <f>60000/P33*L33</f>
        <v>0.35</v>
      </c>
      <c r="AF33" s="486">
        <v>1</v>
      </c>
      <c r="AG33" s="487">
        <v>1</v>
      </c>
    </row>
    <row r="34" spans="1:33" ht="65.099999999999994" customHeight="1">
      <c r="A34" s="314"/>
      <c r="B34" s="315"/>
      <c r="C34" s="314"/>
      <c r="D34" s="314"/>
      <c r="E34" s="309" t="s">
        <v>259</v>
      </c>
      <c r="F34" s="309" t="s">
        <v>202</v>
      </c>
      <c r="G34" s="310" t="s">
        <v>364</v>
      </c>
      <c r="H34" s="309" t="s">
        <v>252</v>
      </c>
      <c r="I34" s="311" t="s">
        <v>230</v>
      </c>
      <c r="J34" s="309" t="s">
        <v>620</v>
      </c>
      <c r="K34" s="309" t="s">
        <v>223</v>
      </c>
      <c r="L34" s="313">
        <v>0.2</v>
      </c>
      <c r="M34" s="311"/>
      <c r="N34" s="311" t="s">
        <v>254</v>
      </c>
      <c r="O34" s="309" t="s">
        <v>487</v>
      </c>
      <c r="P34" s="309">
        <v>96</v>
      </c>
      <c r="Q34" s="309">
        <v>25</v>
      </c>
      <c r="R34" s="309">
        <v>25</v>
      </c>
      <c r="S34" s="309">
        <v>30</v>
      </c>
      <c r="T34" s="309">
        <v>30</v>
      </c>
      <c r="U34" s="309">
        <v>35</v>
      </c>
      <c r="V34" s="311">
        <f t="shared" si="0"/>
        <v>23</v>
      </c>
      <c r="W34" s="311"/>
      <c r="X34" s="311"/>
      <c r="Y34" s="309">
        <f t="shared" si="1"/>
        <v>58</v>
      </c>
      <c r="Z34" s="309">
        <v>1</v>
      </c>
      <c r="AA34" s="309">
        <f>1+2</f>
        <v>3</v>
      </c>
      <c r="AB34" s="396">
        <v>0</v>
      </c>
      <c r="AC34" s="309">
        <v>19</v>
      </c>
      <c r="AD34" s="486">
        <f t="shared" si="4"/>
        <v>0.18400000000000002</v>
      </c>
      <c r="AE34" s="487">
        <f>Y34/P34*L34</f>
        <v>0.12083333333333333</v>
      </c>
      <c r="AF34" s="486">
        <f t="shared" si="2"/>
        <v>0.92</v>
      </c>
      <c r="AG34" s="487">
        <f>+Y34/P34</f>
        <v>0.60416666666666663</v>
      </c>
    </row>
    <row r="35" spans="1:33" ht="65.099999999999994" customHeight="1">
      <c r="A35" s="314"/>
      <c r="B35" s="315"/>
      <c r="C35" s="314"/>
      <c r="D35" s="314"/>
      <c r="E35" s="309" t="s">
        <v>259</v>
      </c>
      <c r="F35" s="309" t="s">
        <v>202</v>
      </c>
      <c r="G35" s="310" t="s">
        <v>364</v>
      </c>
      <c r="H35" s="309" t="s">
        <v>253</v>
      </c>
      <c r="I35" s="311" t="s">
        <v>230</v>
      </c>
      <c r="J35" s="318" t="s">
        <v>631</v>
      </c>
      <c r="K35" s="309" t="s">
        <v>224</v>
      </c>
      <c r="L35" s="313">
        <v>0.25</v>
      </c>
      <c r="M35" s="311"/>
      <c r="N35" s="311" t="s">
        <v>254</v>
      </c>
      <c r="O35" s="309" t="s">
        <v>488</v>
      </c>
      <c r="P35" s="309">
        <v>65000</v>
      </c>
      <c r="Q35" s="309">
        <v>17000</v>
      </c>
      <c r="R35" s="309">
        <v>17000</v>
      </c>
      <c r="S35" s="309">
        <v>20000</v>
      </c>
      <c r="T35" s="309">
        <v>20000</v>
      </c>
      <c r="U35" s="309">
        <v>32636</v>
      </c>
      <c r="V35" s="311">
        <f t="shared" si="0"/>
        <v>31911</v>
      </c>
      <c r="W35" s="311"/>
      <c r="X35" s="311"/>
      <c r="Y35" s="309">
        <f t="shared" si="1"/>
        <v>64547</v>
      </c>
      <c r="Z35" s="309">
        <v>493</v>
      </c>
      <c r="AA35" s="309">
        <f>1500+2500+13000</f>
        <v>17000</v>
      </c>
      <c r="AB35" s="396">
        <v>0</v>
      </c>
      <c r="AC35" s="309">
        <v>14418</v>
      </c>
      <c r="AD35" s="486">
        <v>0.25</v>
      </c>
      <c r="AE35" s="487">
        <f>Y35/P35*L35</f>
        <v>0.24825769230769232</v>
      </c>
      <c r="AF35" s="486">
        <v>1</v>
      </c>
      <c r="AG35" s="487">
        <f>+Y35/P35</f>
        <v>0.99303076923076927</v>
      </c>
    </row>
    <row r="36" spans="1:33" ht="65.099999999999994" customHeight="1">
      <c r="A36" s="314"/>
      <c r="B36" s="315"/>
      <c r="C36" s="314"/>
      <c r="D36" s="314"/>
      <c r="E36" s="544" t="s">
        <v>730</v>
      </c>
      <c r="F36" s="552"/>
      <c r="G36" s="552"/>
      <c r="H36" s="552"/>
      <c r="I36" s="552"/>
      <c r="J36" s="552"/>
      <c r="K36" s="552"/>
      <c r="L36" s="552"/>
      <c r="M36" s="552"/>
      <c r="N36" s="552"/>
      <c r="O36" s="552"/>
      <c r="P36" s="552"/>
      <c r="Q36" s="552"/>
      <c r="R36" s="552"/>
      <c r="S36" s="552"/>
      <c r="T36" s="552"/>
      <c r="U36" s="552"/>
      <c r="V36" s="552"/>
      <c r="W36" s="552"/>
      <c r="X36" s="552"/>
      <c r="Y36" s="552"/>
      <c r="Z36" s="552"/>
      <c r="AA36" s="552"/>
      <c r="AB36" s="485"/>
      <c r="AC36" s="485"/>
      <c r="AD36" s="487">
        <f>SUM(AD32:AD35)</f>
        <v>0.9840000000000001</v>
      </c>
      <c r="AE36" s="487">
        <f>SUM(AE32:AE35)</f>
        <v>0.85509102564102568</v>
      </c>
      <c r="AF36" s="487">
        <f>AVERAGE(AF32:AF35)</f>
        <v>1.0049999999999999</v>
      </c>
      <c r="AG36" s="487">
        <f>AVERAGE(AG32:AG35)</f>
        <v>0.81929935897435902</v>
      </c>
    </row>
    <row r="37" spans="1:33" ht="65.099999999999994" customHeight="1">
      <c r="A37" s="314"/>
      <c r="B37" s="315"/>
      <c r="C37" s="314"/>
      <c r="D37" s="314"/>
      <c r="E37" s="309" t="s">
        <v>257</v>
      </c>
      <c r="F37" s="325" t="s">
        <v>203</v>
      </c>
      <c r="G37" s="310" t="s">
        <v>365</v>
      </c>
      <c r="H37" s="309" t="s">
        <v>231</v>
      </c>
      <c r="I37" s="311" t="s">
        <v>230</v>
      </c>
      <c r="J37" s="311" t="s">
        <v>229</v>
      </c>
      <c r="K37" s="309" t="s">
        <v>225</v>
      </c>
      <c r="L37" s="313">
        <v>0.5</v>
      </c>
      <c r="M37" s="311"/>
      <c r="N37" s="311" t="s">
        <v>254</v>
      </c>
      <c r="O37" s="309" t="s">
        <v>487</v>
      </c>
      <c r="P37" s="309">
        <v>4</v>
      </c>
      <c r="Q37" s="309">
        <v>1</v>
      </c>
      <c r="R37" s="309">
        <v>1</v>
      </c>
      <c r="S37" s="309">
        <v>1</v>
      </c>
      <c r="T37" s="309">
        <v>1</v>
      </c>
      <c r="U37" s="481">
        <v>0</v>
      </c>
      <c r="V37" s="311">
        <f t="shared" si="0"/>
        <v>1</v>
      </c>
      <c r="W37" s="311"/>
      <c r="X37" s="311"/>
      <c r="Y37" s="309">
        <f t="shared" si="1"/>
        <v>1</v>
      </c>
      <c r="Z37" s="309">
        <v>0</v>
      </c>
      <c r="AA37" s="309">
        <v>1</v>
      </c>
      <c r="AB37" s="309">
        <v>0</v>
      </c>
      <c r="AC37" s="309">
        <v>0</v>
      </c>
      <c r="AD37" s="486">
        <f t="shared" si="4"/>
        <v>0.5</v>
      </c>
      <c r="AE37" s="487">
        <f t="shared" si="3"/>
        <v>0.125</v>
      </c>
      <c r="AF37" s="486">
        <f t="shared" ref="AF37:AF40" si="7">V37/R37</f>
        <v>1</v>
      </c>
      <c r="AG37" s="487">
        <f>+Y37/P37</f>
        <v>0.25</v>
      </c>
    </row>
    <row r="38" spans="1:33" ht="65.099999999999994" customHeight="1">
      <c r="A38" s="314"/>
      <c r="B38" s="315"/>
      <c r="C38" s="314"/>
      <c r="D38" s="314"/>
      <c r="E38" s="309" t="s">
        <v>257</v>
      </c>
      <c r="F38" s="325" t="s">
        <v>203</v>
      </c>
      <c r="G38" s="310" t="s">
        <v>611</v>
      </c>
      <c r="H38" s="309" t="s">
        <v>232</v>
      </c>
      <c r="I38" s="311" t="s">
        <v>230</v>
      </c>
      <c r="J38" s="474" t="s">
        <v>229</v>
      </c>
      <c r="K38" s="309" t="s">
        <v>226</v>
      </c>
      <c r="L38" s="313">
        <v>0.5</v>
      </c>
      <c r="M38" s="311"/>
      <c r="N38" s="311" t="s">
        <v>254</v>
      </c>
      <c r="O38" s="309" t="s">
        <v>487</v>
      </c>
      <c r="P38" s="309">
        <v>4</v>
      </c>
      <c r="Q38" s="309">
        <v>1</v>
      </c>
      <c r="R38" s="309">
        <v>1</v>
      </c>
      <c r="S38" s="309">
        <v>1</v>
      </c>
      <c r="T38" s="309">
        <v>1</v>
      </c>
      <c r="U38" s="309">
        <v>0</v>
      </c>
      <c r="V38" s="311">
        <f t="shared" si="0"/>
        <v>1</v>
      </c>
      <c r="W38" s="311"/>
      <c r="X38" s="311"/>
      <c r="Y38" s="309">
        <f t="shared" si="1"/>
        <v>1</v>
      </c>
      <c r="Z38" s="309">
        <v>0</v>
      </c>
      <c r="AA38" s="309">
        <v>0</v>
      </c>
      <c r="AB38" s="309">
        <v>0</v>
      </c>
      <c r="AC38" s="309">
        <v>1</v>
      </c>
      <c r="AD38" s="486">
        <f t="shared" si="4"/>
        <v>0.5</v>
      </c>
      <c r="AE38" s="487">
        <f t="shared" si="3"/>
        <v>0.125</v>
      </c>
      <c r="AF38" s="486">
        <f t="shared" si="7"/>
        <v>1</v>
      </c>
      <c r="AG38" s="487">
        <f t="shared" si="5"/>
        <v>0.25</v>
      </c>
    </row>
    <row r="39" spans="1:33" ht="65.099999999999994" customHeight="1">
      <c r="A39" s="314"/>
      <c r="B39" s="315"/>
      <c r="C39" s="314"/>
      <c r="D39" s="314"/>
      <c r="E39" s="544" t="s">
        <v>731</v>
      </c>
      <c r="F39" s="552"/>
      <c r="G39" s="552"/>
      <c r="H39" s="552"/>
      <c r="I39" s="552"/>
      <c r="J39" s="552"/>
      <c r="K39" s="552"/>
      <c r="L39" s="552"/>
      <c r="M39" s="552"/>
      <c r="N39" s="552"/>
      <c r="O39" s="552"/>
      <c r="P39" s="552"/>
      <c r="Q39" s="552"/>
      <c r="R39" s="552"/>
      <c r="S39" s="552"/>
      <c r="T39" s="552"/>
      <c r="U39" s="552"/>
      <c r="V39" s="552"/>
      <c r="W39" s="552"/>
      <c r="X39" s="552"/>
      <c r="Y39" s="552"/>
      <c r="Z39" s="552"/>
      <c r="AA39" s="552"/>
      <c r="AB39" s="485"/>
      <c r="AC39" s="485"/>
      <c r="AD39" s="495">
        <f>SUM(AD37:AD38)</f>
        <v>1</v>
      </c>
      <c r="AE39" s="495">
        <f>SUM(AE37:AE38)</f>
        <v>0.25</v>
      </c>
      <c r="AF39" s="495">
        <f>AVERAGE(AF37:AF38)</f>
        <v>1</v>
      </c>
      <c r="AG39" s="495">
        <f>AVERAGE(AG37:AG38)</f>
        <v>0.25</v>
      </c>
    </row>
    <row r="40" spans="1:33" ht="65.099999999999994" customHeight="1">
      <c r="A40" s="326"/>
      <c r="B40" s="323"/>
      <c r="C40" s="326"/>
      <c r="D40" s="326"/>
      <c r="E40" s="309" t="s">
        <v>257</v>
      </c>
      <c r="F40" s="308" t="s">
        <v>228</v>
      </c>
      <c r="G40" s="327">
        <v>36928</v>
      </c>
      <c r="H40" s="308" t="s">
        <v>233</v>
      </c>
      <c r="I40" s="307" t="s">
        <v>230</v>
      </c>
      <c r="J40" s="328" t="s">
        <v>621</v>
      </c>
      <c r="K40" s="308" t="s">
        <v>227</v>
      </c>
      <c r="L40" s="321">
        <v>1</v>
      </c>
      <c r="M40" s="307"/>
      <c r="N40" s="307" t="s">
        <v>254</v>
      </c>
      <c r="O40" s="308" t="s">
        <v>487</v>
      </c>
      <c r="P40" s="308">
        <v>4</v>
      </c>
      <c r="Q40" s="308">
        <v>1</v>
      </c>
      <c r="R40" s="308">
        <v>1</v>
      </c>
      <c r="S40" s="308">
        <v>1</v>
      </c>
      <c r="T40" s="308">
        <v>1</v>
      </c>
      <c r="U40" s="482">
        <v>0</v>
      </c>
      <c r="V40" s="311">
        <f t="shared" si="0"/>
        <v>1</v>
      </c>
      <c r="W40" s="307"/>
      <c r="X40" s="307"/>
      <c r="Y40" s="309">
        <f t="shared" si="1"/>
        <v>1</v>
      </c>
      <c r="Z40" s="308"/>
      <c r="AA40" s="308">
        <v>1</v>
      </c>
      <c r="AB40" s="308">
        <v>0</v>
      </c>
      <c r="AC40" s="308">
        <v>0</v>
      </c>
      <c r="AD40" s="486">
        <f t="shared" si="4"/>
        <v>1</v>
      </c>
      <c r="AE40" s="487">
        <f t="shared" si="3"/>
        <v>0.25</v>
      </c>
      <c r="AF40" s="486">
        <f t="shared" si="7"/>
        <v>1</v>
      </c>
      <c r="AG40" s="487">
        <f>+Y40/P40</f>
        <v>0.25</v>
      </c>
    </row>
    <row r="41" spans="1:33" ht="65.099999999999994" customHeight="1">
      <c r="A41" s="483"/>
      <c r="C41" s="483"/>
      <c r="D41" s="496"/>
      <c r="E41" s="553" t="s">
        <v>732</v>
      </c>
      <c r="F41" s="553"/>
      <c r="G41" s="553"/>
      <c r="H41" s="553"/>
      <c r="I41" s="553"/>
      <c r="J41" s="553"/>
      <c r="K41" s="553"/>
      <c r="L41" s="553"/>
      <c r="M41" s="553"/>
      <c r="N41" s="553"/>
      <c r="O41" s="553"/>
      <c r="P41" s="553"/>
      <c r="Q41" s="553"/>
      <c r="R41" s="553"/>
      <c r="S41" s="553"/>
      <c r="T41" s="553"/>
      <c r="U41" s="553"/>
      <c r="V41" s="553"/>
      <c r="W41" s="553"/>
      <c r="X41" s="553"/>
      <c r="Y41" s="553"/>
      <c r="Z41" s="553"/>
      <c r="AA41" s="553"/>
      <c r="AB41" s="305"/>
      <c r="AC41" s="305"/>
      <c r="AD41" s="497">
        <f>SUM(AD40)</f>
        <v>1</v>
      </c>
      <c r="AE41" s="497">
        <f>SUM(AE40)</f>
        <v>0.25</v>
      </c>
      <c r="AF41" s="497">
        <f>AVERAGE(AF40)</f>
        <v>1</v>
      </c>
      <c r="AG41" s="497">
        <f>AVERAGE(AG40)</f>
        <v>0.25</v>
      </c>
    </row>
    <row r="42" spans="1:33" ht="84" customHeight="1">
      <c r="A42" s="483"/>
      <c r="C42" s="483"/>
      <c r="D42" s="483"/>
      <c r="Q42" s="553" t="s">
        <v>1051</v>
      </c>
      <c r="R42" s="553"/>
      <c r="S42" s="553"/>
      <c r="T42" s="553"/>
      <c r="U42" s="553"/>
      <c r="V42" s="553"/>
      <c r="W42" s="553"/>
      <c r="X42" s="553"/>
      <c r="Y42" s="553"/>
      <c r="Z42" s="553"/>
      <c r="AA42" s="553"/>
      <c r="AB42" s="305"/>
      <c r="AC42" s="305"/>
      <c r="AD42" s="498">
        <f>AVERAGE(AD13,AD16,AD19,AD26,AD28,AD31,AD36,AD39,AD41)</f>
        <v>0.94994599968719684</v>
      </c>
      <c r="AE42" s="498">
        <f>AVERAGE(AE13,AE16,AE19,AE26,AE28,AE31,AE36,AE39,AE41)</f>
        <v>0.51190870030156288</v>
      </c>
      <c r="AF42" s="498">
        <f>AVERAGE(AF13,AF16,AF19,AF26,AF28,AF31,AF36,AF39,AF41)</f>
        <v>0.95295920526424993</v>
      </c>
      <c r="AG42" s="498">
        <f>AVERAGE(AG13,AG16,AG19,AG26,AG28,AG31,AG36,AG39,AG41)</f>
        <v>0.49076656010966524</v>
      </c>
    </row>
    <row r="43" spans="1:33" ht="47.25" customHeight="1">
      <c r="A43" s="483"/>
      <c r="C43" s="483"/>
      <c r="D43" s="483"/>
      <c r="F43" s="499"/>
      <c r="G43" s="491"/>
      <c r="H43" s="491"/>
      <c r="I43" s="491"/>
      <c r="J43" s="491"/>
      <c r="K43" s="491"/>
      <c r="L43" s="491"/>
      <c r="M43" s="491"/>
      <c r="N43" s="491"/>
      <c r="O43" s="491"/>
      <c r="P43" s="491"/>
      <c r="Q43" s="567"/>
      <c r="R43" s="567"/>
      <c r="S43" s="567"/>
      <c r="T43" s="567"/>
      <c r="U43" s="567"/>
      <c r="V43" s="567"/>
      <c r="W43" s="567"/>
      <c r="X43" s="567"/>
      <c r="Y43" s="567"/>
      <c r="Z43" s="567"/>
      <c r="AA43" s="567"/>
      <c r="AB43" s="499"/>
      <c r="AC43" s="499"/>
      <c r="AD43" s="500"/>
      <c r="AE43" s="500"/>
      <c r="AF43" s="500"/>
      <c r="AG43" s="500"/>
    </row>
    <row r="44" spans="1:33">
      <c r="A44" s="483"/>
      <c r="C44" s="483"/>
      <c r="D44" s="483"/>
    </row>
    <row r="45" spans="1:33">
      <c r="A45" s="483"/>
      <c r="C45" s="483"/>
      <c r="D45" s="483"/>
    </row>
    <row r="46" spans="1:33">
      <c r="A46" s="483"/>
      <c r="C46" s="483"/>
      <c r="D46" s="483"/>
    </row>
    <row r="47" spans="1:33">
      <c r="A47" s="483"/>
      <c r="C47" s="483"/>
      <c r="D47" s="483"/>
    </row>
    <row r="48" spans="1:33">
      <c r="A48" s="483"/>
      <c r="C48" s="483"/>
      <c r="D48" s="483"/>
    </row>
    <row r="49" spans="1:4">
      <c r="A49" s="483"/>
      <c r="C49" s="483"/>
      <c r="D49" s="483"/>
    </row>
    <row r="50" spans="1:4">
      <c r="A50" s="483"/>
      <c r="C50" s="483"/>
      <c r="D50" s="483"/>
    </row>
    <row r="51" spans="1:4">
      <c r="A51" s="483"/>
      <c r="C51" s="483"/>
      <c r="D51" s="483"/>
    </row>
    <row r="52" spans="1:4">
      <c r="A52" s="483"/>
      <c r="C52" s="483"/>
      <c r="D52" s="483"/>
    </row>
    <row r="53" spans="1:4">
      <c r="A53" s="483"/>
      <c r="C53" s="483"/>
      <c r="D53" s="483"/>
    </row>
    <row r="54" spans="1:4">
      <c r="A54" s="483"/>
      <c r="C54" s="483"/>
      <c r="D54" s="483"/>
    </row>
    <row r="55" spans="1:4">
      <c r="A55" s="483"/>
      <c r="C55" s="483"/>
      <c r="D55" s="483"/>
    </row>
    <row r="56" spans="1:4">
      <c r="A56" s="483"/>
      <c r="C56" s="483"/>
      <c r="D56" s="483"/>
    </row>
    <row r="57" spans="1:4">
      <c r="A57" s="483"/>
      <c r="C57" s="483"/>
      <c r="D57" s="483"/>
    </row>
    <row r="58" spans="1:4">
      <c r="A58" s="483"/>
      <c r="C58" s="483"/>
      <c r="D58" s="483"/>
    </row>
    <row r="59" spans="1:4">
      <c r="A59" s="483"/>
      <c r="C59" s="483"/>
      <c r="D59" s="483"/>
    </row>
    <row r="60" spans="1:4">
      <c r="A60" s="483"/>
      <c r="C60" s="483"/>
      <c r="D60" s="483"/>
    </row>
    <row r="61" spans="1:4">
      <c r="A61" s="483"/>
      <c r="C61" s="483"/>
      <c r="D61" s="483"/>
    </row>
    <row r="62" spans="1:4">
      <c r="A62" s="483"/>
      <c r="C62" s="483"/>
      <c r="D62" s="483"/>
    </row>
    <row r="63" spans="1:4">
      <c r="A63" s="483"/>
      <c r="C63" s="483"/>
      <c r="D63" s="483"/>
    </row>
    <row r="64" spans="1:4">
      <c r="A64" s="483"/>
      <c r="C64" s="483"/>
      <c r="D64" s="483"/>
    </row>
    <row r="65" spans="1:4">
      <c r="A65" s="483"/>
      <c r="C65" s="483"/>
      <c r="D65" s="483"/>
    </row>
    <row r="66" spans="1:4">
      <c r="A66" s="483"/>
      <c r="C66" s="483"/>
      <c r="D66" s="483"/>
    </row>
    <row r="67" spans="1:4">
      <c r="A67" s="483"/>
      <c r="C67" s="483"/>
      <c r="D67" s="483"/>
    </row>
    <row r="68" spans="1:4">
      <c r="A68" s="483"/>
      <c r="C68" s="483"/>
      <c r="D68" s="483"/>
    </row>
    <row r="69" spans="1:4">
      <c r="A69" s="483"/>
      <c r="C69" s="483"/>
      <c r="D69" s="483"/>
    </row>
    <row r="70" spans="1:4">
      <c r="A70" s="483"/>
      <c r="C70" s="483"/>
      <c r="D70" s="483"/>
    </row>
    <row r="71" spans="1:4">
      <c r="A71" s="483"/>
      <c r="C71" s="483"/>
      <c r="D71" s="483"/>
    </row>
    <row r="72" spans="1:4">
      <c r="A72" s="483"/>
      <c r="C72" s="483"/>
      <c r="D72" s="483"/>
    </row>
    <row r="73" spans="1:4">
      <c r="A73" s="483"/>
      <c r="C73" s="483"/>
      <c r="D73" s="483"/>
    </row>
    <row r="74" spans="1:4">
      <c r="A74" s="483"/>
      <c r="C74" s="483"/>
      <c r="D74" s="483"/>
    </row>
    <row r="75" spans="1:4">
      <c r="A75" s="483"/>
      <c r="C75" s="483"/>
      <c r="D75" s="483"/>
    </row>
    <row r="76" spans="1:4">
      <c r="A76" s="483"/>
      <c r="C76" s="483"/>
      <c r="D76" s="483"/>
    </row>
    <row r="77" spans="1:4">
      <c r="A77" s="483"/>
      <c r="C77" s="483"/>
      <c r="D77" s="483"/>
    </row>
    <row r="78" spans="1:4">
      <c r="A78" s="483"/>
      <c r="C78" s="483"/>
      <c r="D78" s="483"/>
    </row>
    <row r="79" spans="1:4">
      <c r="A79" s="483"/>
      <c r="C79" s="483"/>
      <c r="D79" s="483"/>
    </row>
    <row r="80" spans="1:4">
      <c r="A80" s="483"/>
      <c r="C80" s="483"/>
      <c r="D80" s="483"/>
    </row>
    <row r="81" spans="1:4">
      <c r="A81" s="483"/>
      <c r="C81" s="483"/>
      <c r="D81" s="483"/>
    </row>
    <row r="82" spans="1:4">
      <c r="A82" s="483"/>
      <c r="C82" s="483"/>
      <c r="D82" s="483"/>
    </row>
    <row r="83" spans="1:4">
      <c r="A83" s="483"/>
      <c r="C83" s="483"/>
      <c r="D83" s="483"/>
    </row>
    <row r="84" spans="1:4">
      <c r="A84" s="483"/>
      <c r="C84" s="483"/>
      <c r="D84" s="483"/>
    </row>
    <row r="85" spans="1:4">
      <c r="A85" s="483"/>
      <c r="C85" s="483"/>
      <c r="D85" s="483"/>
    </row>
    <row r="86" spans="1:4">
      <c r="A86" s="483"/>
      <c r="C86" s="483"/>
      <c r="D86" s="483"/>
    </row>
    <row r="87" spans="1:4">
      <c r="A87" s="483"/>
      <c r="C87" s="483"/>
      <c r="D87" s="483"/>
    </row>
    <row r="88" spans="1:4">
      <c r="A88" s="483"/>
      <c r="C88" s="483"/>
      <c r="D88" s="483"/>
    </row>
    <row r="89" spans="1:4">
      <c r="A89" s="483"/>
      <c r="C89" s="483"/>
      <c r="D89" s="483"/>
    </row>
    <row r="90" spans="1:4">
      <c r="A90" s="483"/>
      <c r="C90" s="483"/>
      <c r="D90" s="483"/>
    </row>
    <row r="91" spans="1:4">
      <c r="A91" s="483"/>
      <c r="C91" s="483"/>
      <c r="D91" s="483"/>
    </row>
    <row r="92" spans="1:4">
      <c r="A92" s="483"/>
      <c r="C92" s="483"/>
      <c r="D92" s="483"/>
    </row>
    <row r="93" spans="1:4">
      <c r="A93" s="483"/>
      <c r="C93" s="483"/>
      <c r="D93" s="483"/>
    </row>
    <row r="94" spans="1:4">
      <c r="A94" s="483"/>
      <c r="C94" s="483"/>
      <c r="D94" s="483"/>
    </row>
    <row r="95" spans="1:4">
      <c r="A95" s="483"/>
      <c r="C95" s="483"/>
      <c r="D95" s="483"/>
    </row>
    <row r="96" spans="1:4">
      <c r="A96" s="483"/>
      <c r="C96" s="483"/>
      <c r="D96" s="483"/>
    </row>
    <row r="97" spans="1:4">
      <c r="A97" s="483"/>
      <c r="C97" s="483"/>
      <c r="D97" s="483"/>
    </row>
    <row r="98" spans="1:4">
      <c r="A98" s="483"/>
      <c r="C98" s="483"/>
      <c r="D98" s="483"/>
    </row>
    <row r="99" spans="1:4">
      <c r="A99" s="483"/>
      <c r="C99" s="483"/>
      <c r="D99" s="483"/>
    </row>
    <row r="100" spans="1:4">
      <c r="A100" s="483"/>
      <c r="C100" s="483"/>
      <c r="D100" s="483"/>
    </row>
    <row r="101" spans="1:4">
      <c r="A101" s="483"/>
      <c r="C101" s="483"/>
      <c r="D101" s="483"/>
    </row>
    <row r="102" spans="1:4">
      <c r="A102" s="483"/>
      <c r="C102" s="483"/>
      <c r="D102" s="483"/>
    </row>
    <row r="103" spans="1:4">
      <c r="A103" s="483"/>
      <c r="C103" s="483"/>
      <c r="D103" s="483"/>
    </row>
    <row r="104" spans="1:4">
      <c r="A104" s="483"/>
      <c r="C104" s="483"/>
      <c r="D104" s="483"/>
    </row>
  </sheetData>
  <mergeCells count="32">
    <mergeCell ref="Q42:AA42"/>
    <mergeCell ref="Q43:AA43"/>
    <mergeCell ref="E39:AA39"/>
    <mergeCell ref="E41:AA41"/>
    <mergeCell ref="E31:R31"/>
    <mergeCell ref="E36:AA36"/>
    <mergeCell ref="E28:R28"/>
    <mergeCell ref="E21:E22"/>
    <mergeCell ref="F21:F22"/>
    <mergeCell ref="G21:G22"/>
    <mergeCell ref="M21:M22"/>
    <mergeCell ref="E26:AA26"/>
    <mergeCell ref="E16:AA16"/>
    <mergeCell ref="B12:B18"/>
    <mergeCell ref="C12:C19"/>
    <mergeCell ref="D12:D19"/>
    <mergeCell ref="E13:AA13"/>
    <mergeCell ref="E19:AA19"/>
    <mergeCell ref="M8:N8"/>
    <mergeCell ref="A5:B5"/>
    <mergeCell ref="C5:AG5"/>
    <mergeCell ref="A6:AG6"/>
    <mergeCell ref="A1:B4"/>
    <mergeCell ref="C1:AG1"/>
    <mergeCell ref="C2:AG2"/>
    <mergeCell ref="C3:AG3"/>
    <mergeCell ref="C4:AG4"/>
    <mergeCell ref="AD7:AG7"/>
    <mergeCell ref="Z7:AC7"/>
    <mergeCell ref="U7:Y7"/>
    <mergeCell ref="Q7:T7"/>
    <mergeCell ref="A7:P7"/>
  </mergeCells>
  <dataValidations count="1">
    <dataValidation type="list" allowBlank="1" showInputMessage="1" showErrorMessage="1" sqref="N42 N9:N12 N44:N300 N17:N18" xr:uid="{00000000-0002-0000-0100-000000000000}">
      <formula1>#REF!</formula1>
    </dataValidation>
  </dataValidation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70"/>
  <sheetViews>
    <sheetView topLeftCell="A22" workbookViewId="0">
      <selection activeCell="E83" sqref="E83"/>
    </sheetView>
  </sheetViews>
  <sheetFormatPr baseColWidth="10" defaultRowHeight="14.4"/>
  <cols>
    <col min="2" max="2" width="20.21875" customWidth="1"/>
    <col min="4" max="4" width="19" customWidth="1"/>
    <col min="5" max="5" width="14" customWidth="1"/>
    <col min="6" max="6" width="13" customWidth="1"/>
  </cols>
  <sheetData>
    <row r="2" spans="2:5" ht="15" thickBot="1"/>
    <row r="3" spans="2:5" ht="40.200000000000003" thickBot="1">
      <c r="B3" s="400" t="s">
        <v>980</v>
      </c>
      <c r="C3" s="402">
        <v>0.69310000000000005</v>
      </c>
    </row>
    <row r="4" spans="2:5" ht="27" thickBot="1">
      <c r="B4" s="401" t="s">
        <v>981</v>
      </c>
      <c r="C4" s="403">
        <v>0.43099999999999999</v>
      </c>
    </row>
    <row r="5" spans="2:5" ht="27" thickBot="1">
      <c r="B5" s="401" t="s">
        <v>982</v>
      </c>
      <c r="C5" s="403">
        <v>0.67379999999999995</v>
      </c>
    </row>
    <row r="6" spans="2:5" ht="27" thickBot="1">
      <c r="B6" s="401" t="s">
        <v>983</v>
      </c>
      <c r="C6" s="403">
        <v>0.72070000000000001</v>
      </c>
    </row>
    <row r="7" spans="2:5" ht="27" thickBot="1">
      <c r="B7" s="401" t="s">
        <v>984</v>
      </c>
      <c r="C7" s="403">
        <v>0.72070000000000001</v>
      </c>
    </row>
    <row r="15" spans="2:5" ht="43.2">
      <c r="B15" s="406" t="s">
        <v>991</v>
      </c>
      <c r="C15" s="406" t="s">
        <v>990</v>
      </c>
      <c r="D15" s="406" t="s">
        <v>985</v>
      </c>
      <c r="E15" s="406" t="s">
        <v>986</v>
      </c>
    </row>
    <row r="16" spans="2:5" ht="55.2">
      <c r="B16" s="407" t="s">
        <v>260</v>
      </c>
      <c r="C16" s="408">
        <f>+'3.INVERSION'!V39</f>
        <v>0.82954495355062163</v>
      </c>
      <c r="D16" s="408">
        <f>+'3.INVERSION'!BC39</f>
        <v>0.79796258259006247</v>
      </c>
      <c r="E16" s="408">
        <f>+'3.INVERSION'!BE39</f>
        <v>0.79796258259006247</v>
      </c>
    </row>
    <row r="17" spans="2:6" ht="55.2">
      <c r="B17" s="407" t="s">
        <v>272</v>
      </c>
      <c r="C17" s="408">
        <f>+'3.INVERSION'!V47</f>
        <v>0.91491651205936919</v>
      </c>
      <c r="D17" s="408">
        <f>+'3.INVERSION'!BC47</f>
        <v>0.18575969755762425</v>
      </c>
      <c r="E17" s="408">
        <f>+'3.INVERSION'!BE47</f>
        <v>0.18575969755762425</v>
      </c>
    </row>
    <row r="18" spans="2:6" ht="82.8">
      <c r="B18" s="407" t="s">
        <v>987</v>
      </c>
      <c r="C18" s="408">
        <f>+'3.INVERSION'!V60</f>
        <v>0.9074382716049384</v>
      </c>
      <c r="D18" s="408">
        <f>+'3.INVERSION'!BC60</f>
        <v>0.35183932243176813</v>
      </c>
      <c r="E18" s="408">
        <f>+'3.INVERSION'!BE60</f>
        <v>0.35183932243176813</v>
      </c>
    </row>
    <row r="19" spans="2:6" ht="69">
      <c r="B19" s="407" t="s">
        <v>988</v>
      </c>
      <c r="C19" s="408">
        <f>+'3.INVERSION'!V74</f>
        <v>0.7080033399436384</v>
      </c>
      <c r="D19" s="408">
        <f>+'3.INVERSION'!BC74</f>
        <v>0.61589541519765789</v>
      </c>
      <c r="E19" s="408">
        <f>+'3.INVERSION'!BE74</f>
        <v>0.61589541519765789</v>
      </c>
    </row>
    <row r="20" spans="2:6" ht="110.4">
      <c r="B20" s="407" t="s">
        <v>264</v>
      </c>
      <c r="C20" s="408">
        <f>+'3.INVERSION'!V87</f>
        <v>0.86818181818181828</v>
      </c>
      <c r="D20" s="408">
        <f>+'3.INVERSION'!BC87</f>
        <v>6.9638351532531104E-2</v>
      </c>
      <c r="E20" s="408">
        <f>+'3.INVERSION'!BE87</f>
        <v>6.9638351532531104E-2</v>
      </c>
    </row>
    <row r="21" spans="2:6" ht="82.8">
      <c r="B21" s="407" t="s">
        <v>265</v>
      </c>
      <c r="C21" s="408">
        <f>+'3.INVERSION'!V100</f>
        <v>0.89927146130794988</v>
      </c>
      <c r="D21" s="408">
        <f>+'3.INVERSION'!BC100</f>
        <v>0.79009906727459367</v>
      </c>
      <c r="E21" s="408">
        <f>+'3.INVERSION'!BE100</f>
        <v>0.79009906727459367</v>
      </c>
    </row>
    <row r="22" spans="2:6" ht="69">
      <c r="B22" s="407" t="s">
        <v>989</v>
      </c>
      <c r="C22" s="408">
        <f>+'3.INVERSION'!V117</f>
        <v>0.94318181818181812</v>
      </c>
      <c r="D22" s="408">
        <f>+'3.INVERSION'!BC117</f>
        <v>0.61831274401373926</v>
      </c>
      <c r="E22" s="408">
        <f>+'3.INVERSION'!BE117</f>
        <v>0.61831274401373926</v>
      </c>
    </row>
    <row r="23" spans="2:6" ht="82.8">
      <c r="B23" s="407" t="s">
        <v>267</v>
      </c>
      <c r="C23" s="408">
        <f>+'3.INVERSION'!V132</f>
        <v>1</v>
      </c>
      <c r="D23" s="408">
        <f>+'3.INVERSION'!BC132</f>
        <v>0.81278005114519347</v>
      </c>
      <c r="E23" s="408">
        <f>+'3.INVERSION'!BE132</f>
        <v>0.81278005114519347</v>
      </c>
    </row>
    <row r="24" spans="2:6" ht="69">
      <c r="B24" s="407" t="s">
        <v>268</v>
      </c>
      <c r="C24" s="408">
        <f>+'3.INVERSION'!V138</f>
        <v>0.93333333333333324</v>
      </c>
      <c r="D24" s="408">
        <f>+'3.INVERSION'!BC138</f>
        <v>0.33818572021351745</v>
      </c>
      <c r="E24" s="408">
        <f>+'3.INVERSION'!BE138</f>
        <v>0.33818572021351745</v>
      </c>
    </row>
    <row r="25" spans="2:6" ht="96.6">
      <c r="B25" s="404" t="s">
        <v>269</v>
      </c>
      <c r="C25" s="405">
        <f>+'3.INVERSION'!V142</f>
        <v>1</v>
      </c>
      <c r="D25" s="405">
        <f>+'3.INVERSION'!BC142</f>
        <v>0.63973912322176596</v>
      </c>
      <c r="E25" s="405">
        <f>+'3.INVERSION'!BE142</f>
        <v>0.63973912322176596</v>
      </c>
    </row>
    <row r="26" spans="2:6" ht="69">
      <c r="B26" s="404" t="s">
        <v>270</v>
      </c>
      <c r="C26" s="405">
        <f>+'3.INVERSION'!V145</f>
        <v>1</v>
      </c>
      <c r="D26" s="405">
        <f>+'3.INVERSION'!BC145</f>
        <v>0.97726141595122562</v>
      </c>
      <c r="E26" s="405">
        <f>+'3.INVERSION'!BE145</f>
        <v>0.97726141595122562</v>
      </c>
    </row>
    <row r="32" spans="2:6" ht="57.6">
      <c r="D32" s="568" t="s">
        <v>992</v>
      </c>
      <c r="E32" s="569"/>
      <c r="F32" s="409" t="s">
        <v>993</v>
      </c>
    </row>
    <row r="33" spans="4:7">
      <c r="D33" s="410" t="s">
        <v>994</v>
      </c>
      <c r="E33" s="411">
        <f>+'3.INVERSION'!AM146</f>
        <v>35656023276</v>
      </c>
      <c r="F33" s="412"/>
    </row>
    <row r="34" spans="4:7">
      <c r="D34" s="410" t="s">
        <v>995</v>
      </c>
      <c r="E34" s="411">
        <f>+'3.INVERSION'!AP146</f>
        <v>73203606580.339996</v>
      </c>
      <c r="F34" s="412"/>
    </row>
    <row r="35" spans="4:7" ht="28.8">
      <c r="D35" s="413" t="s">
        <v>996</v>
      </c>
      <c r="E35" s="411">
        <f>+'3.INVERSION'!BB146</f>
        <v>52756658731.880005</v>
      </c>
      <c r="F35" s="414">
        <f>+E35/E34</f>
        <v>0.72068387332774742</v>
      </c>
    </row>
    <row r="36" spans="4:7" ht="28.8">
      <c r="D36" s="413" t="s">
        <v>997</v>
      </c>
      <c r="E36" s="411">
        <f>+'3.INVERSION'!BD146</f>
        <v>52756658731.880005</v>
      </c>
      <c r="F36" s="414">
        <f>+E36/E34</f>
        <v>0.72068387332774742</v>
      </c>
    </row>
    <row r="43" spans="4:7" ht="15" thickBot="1"/>
    <row r="44" spans="4:7" ht="15" thickBot="1">
      <c r="D44" s="420" t="s">
        <v>998</v>
      </c>
      <c r="E44" s="421" t="s">
        <v>999</v>
      </c>
      <c r="F44" s="421" t="s">
        <v>1000</v>
      </c>
      <c r="G44" s="421" t="s">
        <v>1001</v>
      </c>
    </row>
    <row r="45" spans="4:7" ht="29.4" thickBot="1">
      <c r="D45" s="415" t="s">
        <v>1002</v>
      </c>
      <c r="E45" s="417">
        <v>0.58099999999999996</v>
      </c>
      <c r="F45" s="418">
        <v>0.69310000000000005</v>
      </c>
      <c r="G45" s="416">
        <f>+F45-E45</f>
        <v>0.11210000000000009</v>
      </c>
    </row>
    <row r="46" spans="4:7" ht="29.4" thickBot="1">
      <c r="D46" s="415" t="s">
        <v>1003</v>
      </c>
      <c r="E46" s="417">
        <v>0.59360000000000002</v>
      </c>
      <c r="F46" s="419">
        <v>0.67379999999999995</v>
      </c>
      <c r="G46" s="416">
        <f t="shared" ref="G46:G49" si="0">+F46-E46</f>
        <v>8.0199999999999938E-2</v>
      </c>
    </row>
    <row r="47" spans="4:7" ht="43.8" thickBot="1">
      <c r="D47" s="415" t="s">
        <v>1004</v>
      </c>
      <c r="E47" s="417">
        <v>0.46899999999999997</v>
      </c>
      <c r="F47" s="419">
        <v>0.72070000000000001</v>
      </c>
      <c r="G47" s="416">
        <f t="shared" si="0"/>
        <v>0.25170000000000003</v>
      </c>
    </row>
    <row r="48" spans="4:7" ht="43.8" thickBot="1">
      <c r="D48" s="415" t="s">
        <v>1005</v>
      </c>
      <c r="E48" s="417">
        <v>0.33900000000000002</v>
      </c>
      <c r="F48" s="419">
        <v>0.72070000000000001</v>
      </c>
      <c r="G48" s="416">
        <f t="shared" si="0"/>
        <v>0.38169999999999998</v>
      </c>
    </row>
    <row r="49" spans="2:7" ht="29.4" thickBot="1">
      <c r="D49" s="415" t="s">
        <v>1006</v>
      </c>
      <c r="E49" s="417">
        <v>0.41539999999999999</v>
      </c>
      <c r="F49" s="419">
        <v>0.72070000000000001</v>
      </c>
      <c r="G49" s="416">
        <f t="shared" si="0"/>
        <v>0.30530000000000002</v>
      </c>
    </row>
    <row r="57" spans="2:7">
      <c r="B57" s="422"/>
      <c r="C57" s="570" t="s">
        <v>1007</v>
      </c>
      <c r="D57" s="570"/>
      <c r="E57" s="422" t="s">
        <v>1008</v>
      </c>
      <c r="F57" s="422"/>
    </row>
    <row r="58" spans="2:7">
      <c r="B58" s="422" t="s">
        <v>1009</v>
      </c>
      <c r="C58" s="426" t="s">
        <v>1010</v>
      </c>
      <c r="D58" s="426" t="s">
        <v>1011</v>
      </c>
      <c r="E58" s="422" t="s">
        <v>1012</v>
      </c>
      <c r="F58" s="422" t="s">
        <v>1013</v>
      </c>
    </row>
    <row r="59" spans="2:7" ht="68.25" customHeight="1">
      <c r="B59" s="423" t="s">
        <v>1014</v>
      </c>
      <c r="C59" s="424">
        <f>+'1. ESTRATEGICO DIC  2025'!AF13</f>
        <v>0.65670091324200908</v>
      </c>
      <c r="D59" s="424">
        <f>+'1. ESTRATEGICO DIC  2025'!AG13</f>
        <v>0.39979166666666671</v>
      </c>
      <c r="E59" s="424">
        <f>+'3.INVERSION'!BC39</f>
        <v>0.79796258259006247</v>
      </c>
      <c r="F59" s="424">
        <f>+'3.INVERSION'!BE39</f>
        <v>0.79796258259006247</v>
      </c>
    </row>
    <row r="60" spans="2:7" ht="47.25" customHeight="1">
      <c r="B60" s="423" t="s">
        <v>1015</v>
      </c>
      <c r="C60" s="424">
        <f>+'1. ESTRATEGICO DIC  2025'!AF16</f>
        <v>1</v>
      </c>
      <c r="D60" s="424">
        <f>+'1. ESTRATEGICO DIC  2025'!AG16</f>
        <v>0.36217424911660778</v>
      </c>
      <c r="E60" s="424">
        <f>+'3.INVERSION'!BC47</f>
        <v>0.18575969755762425</v>
      </c>
      <c r="F60" s="424">
        <f>+'3.INVERSION'!BE47</f>
        <v>0.18575969755762425</v>
      </c>
    </row>
    <row r="61" spans="2:7" ht="108.75" customHeight="1">
      <c r="B61" s="423" t="s">
        <v>1016</v>
      </c>
      <c r="C61" s="424">
        <f>+'1. ESTRATEGICO DIC  2025'!AF19</f>
        <v>0.99314814814814811</v>
      </c>
      <c r="D61" s="424">
        <f>+'1. ESTRATEGICO DIC  2025'!AG19</f>
        <v>0.58266666666666667</v>
      </c>
      <c r="E61" s="425">
        <f>+'3.INVERSION'!BC60</f>
        <v>0.35183932243176813</v>
      </c>
      <c r="F61" s="425">
        <f>+'3.INVERSION'!BE60</f>
        <v>0.35183932243176813</v>
      </c>
    </row>
    <row r="62" spans="2:7" ht="90" customHeight="1">
      <c r="B62" s="423" t="s">
        <v>1017</v>
      </c>
      <c r="C62" s="424">
        <f>+'1. ESTRATEGICO DIC  2025'!AF26</f>
        <v>0.99758706467661684</v>
      </c>
      <c r="D62" s="424">
        <f>+'1. ESTRATEGICO DIC  2025'!AG26</f>
        <v>0.57066725894337833</v>
      </c>
      <c r="E62" s="424">
        <v>0.34279999999999999</v>
      </c>
      <c r="F62" s="424">
        <v>0.34279999999999999</v>
      </c>
    </row>
    <row r="63" spans="2:7" ht="75.75" customHeight="1">
      <c r="B63" s="423" t="s">
        <v>1018</v>
      </c>
      <c r="C63" s="424">
        <f>+'1. ESTRATEGICO DIC  2025'!AF28</f>
        <v>0.92419672131147546</v>
      </c>
      <c r="D63" s="424">
        <f>+'1. ESTRATEGICO DIC  2025'!AG28</f>
        <v>0.48642622950819669</v>
      </c>
      <c r="E63" s="424">
        <f>+'3.INVERSION'!BC100</f>
        <v>0.79009906727459367</v>
      </c>
      <c r="F63" s="424">
        <f>+'3.INVERSION'!BE100</f>
        <v>0.79009906727459367</v>
      </c>
    </row>
    <row r="65" spans="2:6">
      <c r="B65" s="422"/>
      <c r="C65" s="570" t="s">
        <v>1007</v>
      </c>
      <c r="D65" s="570"/>
      <c r="E65" s="422" t="s">
        <v>1008</v>
      </c>
      <c r="F65" s="422"/>
    </row>
    <row r="66" spans="2:6">
      <c r="B66" s="422" t="s">
        <v>1009</v>
      </c>
      <c r="C66" s="426" t="s">
        <v>1010</v>
      </c>
      <c r="D66" s="426" t="s">
        <v>1011</v>
      </c>
      <c r="E66" s="422" t="s">
        <v>1012</v>
      </c>
      <c r="F66" s="422" t="s">
        <v>1013</v>
      </c>
    </row>
    <row r="67" spans="2:6" ht="87.75" customHeight="1">
      <c r="B67" s="423" t="s">
        <v>1019</v>
      </c>
      <c r="C67" s="424">
        <f>+'1. ESTRATEGICO DIC  2025'!AF31</f>
        <v>1</v>
      </c>
      <c r="D67" s="424">
        <f>+'1. ESTRATEGICO DIC  2025'!AG31</f>
        <v>0.69587361111111112</v>
      </c>
      <c r="E67" s="424">
        <v>0.71550000000000002</v>
      </c>
      <c r="F67" s="424">
        <v>0.71550000000000002</v>
      </c>
    </row>
    <row r="68" spans="2:6" ht="64.5" customHeight="1">
      <c r="B68" s="423" t="s">
        <v>1020</v>
      </c>
      <c r="C68" s="424">
        <f>+'1. ESTRATEGICO DIC  2025'!AF36</f>
        <v>1.0049999999999999</v>
      </c>
      <c r="D68" s="424">
        <f>+'1. ESTRATEGICO DIC  2025'!AG36</f>
        <v>0.81929935897435902</v>
      </c>
      <c r="E68" s="424">
        <f>+'3.INVERSION'!BC138</f>
        <v>0.33818572021351745</v>
      </c>
      <c r="F68" s="424">
        <f>+'3.INVERSION'!BE138</f>
        <v>0.33818572021351745</v>
      </c>
    </row>
    <row r="69" spans="2:6" ht="109.5" customHeight="1">
      <c r="B69" s="423" t="s">
        <v>1021</v>
      </c>
      <c r="C69" s="424">
        <f>+'1. ESTRATEGICO DIC  2025'!AF39</f>
        <v>1</v>
      </c>
      <c r="D69" s="424">
        <f>+'1. ESTRATEGICO DIC  2025'!AG39</f>
        <v>0.25</v>
      </c>
      <c r="E69" s="424">
        <f>+'3.INVERSION'!BC142</f>
        <v>0.63973912322176596</v>
      </c>
      <c r="F69" s="424">
        <f>+'3.INVERSION'!BE142</f>
        <v>0.63973912322176596</v>
      </c>
    </row>
    <row r="70" spans="2:6" ht="72" customHeight="1">
      <c r="B70" s="423" t="s">
        <v>1022</v>
      </c>
      <c r="C70" s="425">
        <f>+'1. ESTRATEGICO DIC  2025'!AF41</f>
        <v>1</v>
      </c>
      <c r="D70" s="425">
        <f>+'1. ESTRATEGICO DIC  2025'!AG41</f>
        <v>0.25</v>
      </c>
      <c r="E70" s="424">
        <f>+'3.INVERSION'!BC145</f>
        <v>0.97726141595122562</v>
      </c>
      <c r="F70" s="424">
        <f>+'3.INVERSION'!BE145</f>
        <v>0.97726141595122562</v>
      </c>
    </row>
  </sheetData>
  <mergeCells count="3">
    <mergeCell ref="D32:E32"/>
    <mergeCell ref="C57:D57"/>
    <mergeCell ref="C65:D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6"/>
  <sheetViews>
    <sheetView topLeftCell="A35" workbookViewId="0">
      <selection activeCell="A38" sqref="A38"/>
    </sheetView>
  </sheetViews>
  <sheetFormatPr baseColWidth="10" defaultColWidth="11" defaultRowHeight="10.8"/>
  <cols>
    <col min="1" max="1" width="20.88671875" style="117" customWidth="1"/>
    <col min="2" max="2" width="30.77734375" style="117" customWidth="1"/>
    <col min="3" max="3" width="33.77734375" style="117" customWidth="1"/>
    <col min="4" max="4" width="32" style="117" customWidth="1"/>
    <col min="5" max="6" width="28.77734375" style="117" customWidth="1"/>
    <col min="7" max="7" width="41.33203125" style="117" customWidth="1"/>
    <col min="8" max="8" width="45.6640625" style="117" customWidth="1"/>
    <col min="9" max="9" width="48.6640625" style="117" customWidth="1"/>
    <col min="10" max="10" width="48.77734375" style="117" customWidth="1"/>
    <col min="11" max="11" width="38.88671875" style="117" customWidth="1"/>
    <col min="12" max="12" width="45.88671875" style="117" customWidth="1"/>
    <col min="13" max="13" width="57.77734375" style="117" customWidth="1"/>
    <col min="14" max="14" width="65.77734375" style="117" customWidth="1"/>
    <col min="15" max="16" width="11" style="117"/>
    <col min="17" max="17" width="0" style="117" hidden="1" customWidth="1"/>
    <col min="18" max="16384" width="11" style="117"/>
  </cols>
  <sheetData>
    <row r="1" spans="1:17" s="1" customFormat="1" ht="14.4">
      <c r="A1" s="579"/>
      <c r="B1" s="580"/>
      <c r="C1" s="585" t="s">
        <v>0</v>
      </c>
      <c r="D1" s="586"/>
      <c r="E1" s="586"/>
      <c r="F1" s="586"/>
      <c r="G1" s="586"/>
      <c r="H1" s="586"/>
      <c r="I1" s="586"/>
      <c r="J1" s="586"/>
      <c r="K1" s="586"/>
      <c r="L1" s="586"/>
      <c r="M1" s="587"/>
      <c r="N1" s="118" t="s">
        <v>188</v>
      </c>
    </row>
    <row r="2" spans="1:17" s="1" customFormat="1" ht="14.4">
      <c r="A2" s="581"/>
      <c r="B2" s="582"/>
      <c r="C2" s="585" t="s">
        <v>1</v>
      </c>
      <c r="D2" s="586"/>
      <c r="E2" s="586"/>
      <c r="F2" s="586"/>
      <c r="G2" s="586"/>
      <c r="H2" s="586"/>
      <c r="I2" s="586"/>
      <c r="J2" s="586"/>
      <c r="K2" s="586"/>
      <c r="L2" s="586"/>
      <c r="M2" s="587"/>
      <c r="N2" s="118" t="s">
        <v>2</v>
      </c>
    </row>
    <row r="3" spans="1:17" s="1" customFormat="1" ht="14.4">
      <c r="A3" s="581"/>
      <c r="B3" s="582"/>
      <c r="C3" s="585" t="s">
        <v>3</v>
      </c>
      <c r="D3" s="586"/>
      <c r="E3" s="586"/>
      <c r="F3" s="586"/>
      <c r="G3" s="586"/>
      <c r="H3" s="586"/>
      <c r="I3" s="586"/>
      <c r="J3" s="586"/>
      <c r="K3" s="586"/>
      <c r="L3" s="586"/>
      <c r="M3" s="587"/>
      <c r="N3" s="118" t="s">
        <v>187</v>
      </c>
    </row>
    <row r="4" spans="1:17" s="1" customFormat="1" ht="14.4">
      <c r="A4" s="583"/>
      <c r="B4" s="584"/>
      <c r="C4" s="585" t="s">
        <v>136</v>
      </c>
      <c r="D4" s="586"/>
      <c r="E4" s="586"/>
      <c r="F4" s="586"/>
      <c r="G4" s="586"/>
      <c r="H4" s="586"/>
      <c r="I4" s="586"/>
      <c r="J4" s="586"/>
      <c r="K4" s="586"/>
      <c r="L4" s="586"/>
      <c r="M4" s="587"/>
      <c r="N4" s="118" t="s">
        <v>189</v>
      </c>
    </row>
    <row r="5" spans="1:17" s="1" customFormat="1" ht="21" customHeight="1">
      <c r="A5" s="588" t="s">
        <v>4</v>
      </c>
      <c r="B5" s="589"/>
      <c r="C5" s="588" t="s">
        <v>889</v>
      </c>
      <c r="D5" s="590"/>
      <c r="E5" s="590"/>
      <c r="F5" s="590"/>
      <c r="G5" s="590"/>
      <c r="H5" s="590"/>
      <c r="I5" s="590"/>
      <c r="J5" s="590"/>
      <c r="K5" s="590"/>
      <c r="L5" s="590"/>
      <c r="M5" s="590"/>
      <c r="N5" s="590"/>
    </row>
    <row r="6" spans="1:17" s="1" customFormat="1" ht="14.4">
      <c r="A6" s="571" t="s">
        <v>132</v>
      </c>
      <c r="B6" s="571"/>
      <c r="C6" s="571"/>
      <c r="D6" s="571"/>
      <c r="E6" s="571"/>
      <c r="F6" s="571"/>
      <c r="G6" s="571"/>
      <c r="H6" s="571"/>
      <c r="I6" s="571"/>
      <c r="J6" s="571"/>
      <c r="K6" s="571"/>
      <c r="L6" s="572"/>
      <c r="M6" s="575" t="s">
        <v>73</v>
      </c>
      <c r="N6" s="576"/>
    </row>
    <row r="7" spans="1:17" s="1" customFormat="1" ht="14.4">
      <c r="A7" s="573"/>
      <c r="B7" s="573"/>
      <c r="C7" s="573"/>
      <c r="D7" s="573"/>
      <c r="E7" s="573"/>
      <c r="F7" s="573"/>
      <c r="G7" s="573"/>
      <c r="H7" s="573"/>
      <c r="I7" s="573"/>
      <c r="J7" s="573"/>
      <c r="K7" s="573"/>
      <c r="L7" s="574"/>
      <c r="M7" s="577"/>
      <c r="N7" s="578"/>
    </row>
    <row r="8" spans="1:17" s="16" customFormat="1" ht="27.6">
      <c r="A8" s="119" t="s">
        <v>77</v>
      </c>
      <c r="B8" s="119" t="s">
        <v>165</v>
      </c>
      <c r="C8" s="119" t="s">
        <v>148</v>
      </c>
      <c r="D8" s="119" t="s">
        <v>63</v>
      </c>
      <c r="E8" s="119" t="s">
        <v>64</v>
      </c>
      <c r="F8" s="119" t="s">
        <v>65</v>
      </c>
      <c r="G8" s="119" t="s">
        <v>143</v>
      </c>
      <c r="H8" s="119" t="s">
        <v>145</v>
      </c>
      <c r="I8" s="119" t="s">
        <v>144</v>
      </c>
      <c r="J8" s="119" t="s">
        <v>135</v>
      </c>
      <c r="K8" s="119" t="s">
        <v>74</v>
      </c>
      <c r="L8" s="119" t="s">
        <v>66</v>
      </c>
      <c r="M8" s="119" t="s">
        <v>25</v>
      </c>
      <c r="N8" s="119" t="s">
        <v>26</v>
      </c>
    </row>
    <row r="9" spans="1:17" s="201" customFormat="1" ht="165">
      <c r="A9" s="29" t="s">
        <v>255</v>
      </c>
      <c r="B9" s="195" t="s">
        <v>335</v>
      </c>
      <c r="C9" s="195" t="s">
        <v>337</v>
      </c>
      <c r="D9" s="196" t="s">
        <v>498</v>
      </c>
      <c r="E9" s="197" t="s">
        <v>499</v>
      </c>
      <c r="F9" s="196" t="s">
        <v>500</v>
      </c>
      <c r="G9" s="198" t="s">
        <v>514</v>
      </c>
      <c r="H9" s="199" t="s">
        <v>515</v>
      </c>
      <c r="I9" s="200" t="s">
        <v>503</v>
      </c>
      <c r="J9" s="200" t="s">
        <v>504</v>
      </c>
      <c r="K9" s="196" t="s">
        <v>338</v>
      </c>
      <c r="L9" s="196" t="s">
        <v>591</v>
      </c>
      <c r="M9" s="196" t="s">
        <v>505</v>
      </c>
      <c r="N9" s="196" t="s">
        <v>506</v>
      </c>
    </row>
    <row r="10" spans="1:17" s="201" customFormat="1" ht="165">
      <c r="A10" s="29" t="s">
        <v>255</v>
      </c>
      <c r="B10" s="195" t="s">
        <v>335</v>
      </c>
      <c r="C10" s="195" t="s">
        <v>337</v>
      </c>
      <c r="D10" s="196" t="s">
        <v>498</v>
      </c>
      <c r="E10" s="197" t="s">
        <v>499</v>
      </c>
      <c r="F10" s="196" t="s">
        <v>500</v>
      </c>
      <c r="G10" s="198" t="s">
        <v>514</v>
      </c>
      <c r="H10" s="199" t="s">
        <v>515</v>
      </c>
      <c r="I10" s="200" t="s">
        <v>503</v>
      </c>
      <c r="J10" s="200" t="s">
        <v>504</v>
      </c>
      <c r="K10" s="196" t="s">
        <v>338</v>
      </c>
      <c r="L10" s="196" t="s">
        <v>591</v>
      </c>
      <c r="M10" s="196" t="s">
        <v>507</v>
      </c>
      <c r="N10" s="196" t="s">
        <v>508</v>
      </c>
    </row>
    <row r="11" spans="1:17" s="201" customFormat="1" ht="165">
      <c r="A11" s="29" t="s">
        <v>255</v>
      </c>
      <c r="B11" s="195" t="s">
        <v>335</v>
      </c>
      <c r="C11" s="195" t="s">
        <v>337</v>
      </c>
      <c r="D11" s="196" t="s">
        <v>498</v>
      </c>
      <c r="E11" s="197" t="s">
        <v>499</v>
      </c>
      <c r="F11" s="196" t="s">
        <v>500</v>
      </c>
      <c r="G11" s="198" t="s">
        <v>514</v>
      </c>
      <c r="H11" s="199" t="s">
        <v>515</v>
      </c>
      <c r="I11" s="200" t="s">
        <v>503</v>
      </c>
      <c r="J11" s="197" t="s">
        <v>504</v>
      </c>
      <c r="K11" s="196" t="s">
        <v>338</v>
      </c>
      <c r="L11" s="196" t="s">
        <v>591</v>
      </c>
      <c r="M11" s="196" t="s">
        <v>511</v>
      </c>
      <c r="N11" s="196" t="s">
        <v>512</v>
      </c>
      <c r="Q11" s="201" t="s">
        <v>67</v>
      </c>
    </row>
    <row r="12" spans="1:17" s="201" customFormat="1" ht="165">
      <c r="A12" s="29" t="s">
        <v>255</v>
      </c>
      <c r="B12" s="195" t="s">
        <v>335</v>
      </c>
      <c r="C12" s="195" t="s">
        <v>337</v>
      </c>
      <c r="D12" s="196" t="s">
        <v>498</v>
      </c>
      <c r="E12" s="197" t="s">
        <v>499</v>
      </c>
      <c r="F12" s="196" t="s">
        <v>500</v>
      </c>
      <c r="G12" s="198" t="s">
        <v>514</v>
      </c>
      <c r="H12" s="199" t="s">
        <v>515</v>
      </c>
      <c r="I12" s="200" t="s">
        <v>503</v>
      </c>
      <c r="J12" s="197" t="s">
        <v>504</v>
      </c>
      <c r="K12" s="196" t="s">
        <v>338</v>
      </c>
      <c r="L12" s="196" t="s">
        <v>591</v>
      </c>
      <c r="M12" s="196" t="s">
        <v>592</v>
      </c>
      <c r="N12" s="196" t="s">
        <v>513</v>
      </c>
    </row>
    <row r="13" spans="1:17" s="201" customFormat="1" ht="165">
      <c r="A13" s="29" t="s">
        <v>255</v>
      </c>
      <c r="B13" s="195" t="s">
        <v>335</v>
      </c>
      <c r="C13" s="195" t="s">
        <v>337</v>
      </c>
      <c r="D13" s="196" t="s">
        <v>498</v>
      </c>
      <c r="E13" s="197" t="s">
        <v>499</v>
      </c>
      <c r="F13" s="196" t="s">
        <v>500</v>
      </c>
      <c r="G13" s="198" t="s">
        <v>509</v>
      </c>
      <c r="H13" s="198" t="s">
        <v>510</v>
      </c>
      <c r="I13" s="200" t="s">
        <v>503</v>
      </c>
      <c r="J13" s="200" t="s">
        <v>504</v>
      </c>
      <c r="K13" s="196" t="s">
        <v>338</v>
      </c>
      <c r="L13" s="196" t="s">
        <v>591</v>
      </c>
      <c r="M13" s="196" t="s">
        <v>516</v>
      </c>
      <c r="N13" s="196" t="s">
        <v>517</v>
      </c>
      <c r="Q13" s="201" t="s">
        <v>68</v>
      </c>
    </row>
    <row r="14" spans="1:17" s="201" customFormat="1" ht="165">
      <c r="A14" s="29" t="s">
        <v>255</v>
      </c>
      <c r="B14" s="195" t="s">
        <v>335</v>
      </c>
      <c r="C14" s="195" t="s">
        <v>337</v>
      </c>
      <c r="D14" s="196" t="s">
        <v>498</v>
      </c>
      <c r="E14" s="197" t="s">
        <v>499</v>
      </c>
      <c r="F14" s="196" t="s">
        <v>500</v>
      </c>
      <c r="G14" s="198" t="s">
        <v>509</v>
      </c>
      <c r="H14" s="198" t="s">
        <v>510</v>
      </c>
      <c r="I14" s="200" t="s">
        <v>503</v>
      </c>
      <c r="J14" s="200" t="s">
        <v>504</v>
      </c>
      <c r="K14" s="196" t="s">
        <v>338</v>
      </c>
      <c r="L14" s="196" t="s">
        <v>591</v>
      </c>
      <c r="M14" s="202" t="s">
        <v>518</v>
      </c>
      <c r="N14" s="196" t="s">
        <v>519</v>
      </c>
    </row>
    <row r="15" spans="1:17" s="201" customFormat="1" ht="165">
      <c r="A15" s="29" t="s">
        <v>256</v>
      </c>
      <c r="B15" s="195" t="s">
        <v>335</v>
      </c>
      <c r="C15" s="195" t="s">
        <v>337</v>
      </c>
      <c r="D15" s="196" t="s">
        <v>498</v>
      </c>
      <c r="E15" s="197" t="s">
        <v>499</v>
      </c>
      <c r="F15" s="196" t="s">
        <v>500</v>
      </c>
      <c r="G15" s="199" t="s">
        <v>501</v>
      </c>
      <c r="H15" s="198" t="s">
        <v>502</v>
      </c>
      <c r="I15" s="200" t="s">
        <v>503</v>
      </c>
      <c r="J15" s="200" t="s">
        <v>504</v>
      </c>
      <c r="K15" s="196" t="s">
        <v>338</v>
      </c>
      <c r="L15" s="196" t="s">
        <v>591</v>
      </c>
      <c r="M15" s="196" t="s">
        <v>520</v>
      </c>
      <c r="N15" s="196" t="s">
        <v>521</v>
      </c>
      <c r="Q15" s="201" t="s">
        <v>69</v>
      </c>
    </row>
    <row r="16" spans="1:17" s="120" customFormat="1" ht="240">
      <c r="A16" s="29" t="s">
        <v>257</v>
      </c>
      <c r="B16" s="140" t="s">
        <v>335</v>
      </c>
      <c r="C16" s="140" t="s">
        <v>337</v>
      </c>
      <c r="D16" s="144" t="s">
        <v>522</v>
      </c>
      <c r="E16" s="144" t="s">
        <v>499</v>
      </c>
      <c r="F16" s="143" t="s">
        <v>523</v>
      </c>
      <c r="G16" s="122" t="s">
        <v>524</v>
      </c>
      <c r="H16" s="203" t="s">
        <v>525</v>
      </c>
      <c r="I16" s="144" t="s">
        <v>526</v>
      </c>
      <c r="J16" s="144" t="s">
        <v>504</v>
      </c>
      <c r="K16" s="143" t="s">
        <v>339</v>
      </c>
      <c r="L16" s="196" t="s">
        <v>591</v>
      </c>
      <c r="M16" s="140" t="s">
        <v>527</v>
      </c>
      <c r="N16" s="140" t="s">
        <v>528</v>
      </c>
      <c r="Q16" s="120" t="s">
        <v>70</v>
      </c>
    </row>
    <row r="17" spans="1:14" s="120" customFormat="1" ht="240">
      <c r="A17" s="29" t="s">
        <v>257</v>
      </c>
      <c r="B17" s="204" t="s">
        <v>335</v>
      </c>
      <c r="C17" s="140" t="s">
        <v>337</v>
      </c>
      <c r="D17" s="144" t="s">
        <v>522</v>
      </c>
      <c r="E17" s="144" t="s">
        <v>499</v>
      </c>
      <c r="F17" s="143" t="s">
        <v>523</v>
      </c>
      <c r="G17" s="122" t="s">
        <v>529</v>
      </c>
      <c r="H17" s="203" t="s">
        <v>530</v>
      </c>
      <c r="I17" s="144" t="s">
        <v>526</v>
      </c>
      <c r="J17" s="144" t="s">
        <v>504</v>
      </c>
      <c r="K17" s="143" t="s">
        <v>339</v>
      </c>
      <c r="L17" s="196" t="s">
        <v>591</v>
      </c>
      <c r="M17" s="140" t="s">
        <v>527</v>
      </c>
      <c r="N17" s="140" t="s">
        <v>528</v>
      </c>
    </row>
    <row r="18" spans="1:14" s="120" customFormat="1" ht="240">
      <c r="A18" s="29" t="s">
        <v>257</v>
      </c>
      <c r="B18" s="140" t="s">
        <v>335</v>
      </c>
      <c r="C18" s="140" t="s">
        <v>337</v>
      </c>
      <c r="D18" s="144" t="s">
        <v>522</v>
      </c>
      <c r="E18" s="144" t="s">
        <v>499</v>
      </c>
      <c r="F18" s="143" t="s">
        <v>523</v>
      </c>
      <c r="G18" s="122" t="s">
        <v>531</v>
      </c>
      <c r="H18" s="203" t="s">
        <v>532</v>
      </c>
      <c r="I18" s="144" t="s">
        <v>526</v>
      </c>
      <c r="J18" s="144" t="s">
        <v>504</v>
      </c>
      <c r="K18" s="143" t="s">
        <v>339</v>
      </c>
      <c r="L18" s="196" t="s">
        <v>591</v>
      </c>
      <c r="M18" s="140" t="s">
        <v>527</v>
      </c>
      <c r="N18" s="143" t="s">
        <v>528</v>
      </c>
    </row>
    <row r="19" spans="1:14" s="120" customFormat="1" ht="135">
      <c r="A19" s="29" t="s">
        <v>258</v>
      </c>
      <c r="B19" s="143" t="s">
        <v>335</v>
      </c>
      <c r="C19" s="204" t="s">
        <v>337</v>
      </c>
      <c r="D19" s="140" t="s">
        <v>533</v>
      </c>
      <c r="E19" s="144" t="s">
        <v>499</v>
      </c>
      <c r="F19" s="205" t="s">
        <v>534</v>
      </c>
      <c r="G19" s="141" t="s">
        <v>535</v>
      </c>
      <c r="H19" s="203" t="s">
        <v>536</v>
      </c>
      <c r="I19" s="144" t="s">
        <v>537</v>
      </c>
      <c r="J19" s="144" t="s">
        <v>538</v>
      </c>
      <c r="K19" s="143" t="s">
        <v>340</v>
      </c>
      <c r="L19" s="196" t="s">
        <v>591</v>
      </c>
      <c r="M19" s="140" t="s">
        <v>539</v>
      </c>
      <c r="N19" s="140" t="s">
        <v>540</v>
      </c>
    </row>
    <row r="20" spans="1:14" s="120" customFormat="1" ht="120">
      <c r="A20" s="29" t="s">
        <v>258</v>
      </c>
      <c r="B20" s="143" t="s">
        <v>335</v>
      </c>
      <c r="C20" s="204" t="s">
        <v>337</v>
      </c>
      <c r="D20" s="140" t="s">
        <v>533</v>
      </c>
      <c r="E20" s="144" t="s">
        <v>499</v>
      </c>
      <c r="F20" s="205" t="s">
        <v>523</v>
      </c>
      <c r="G20" s="141" t="s">
        <v>541</v>
      </c>
      <c r="H20" s="203" t="s">
        <v>542</v>
      </c>
      <c r="I20" s="144" t="s">
        <v>503</v>
      </c>
      <c r="J20" s="144" t="s">
        <v>538</v>
      </c>
      <c r="K20" s="143" t="s">
        <v>340</v>
      </c>
      <c r="L20" s="196" t="s">
        <v>591</v>
      </c>
      <c r="M20" s="140" t="s">
        <v>539</v>
      </c>
      <c r="N20" s="140" t="s">
        <v>540</v>
      </c>
    </row>
    <row r="21" spans="1:14" s="120" customFormat="1" ht="120">
      <c r="A21" s="29" t="s">
        <v>257</v>
      </c>
      <c r="B21" s="145" t="s">
        <v>335</v>
      </c>
      <c r="C21" s="140" t="s">
        <v>337</v>
      </c>
      <c r="D21" s="144" t="s">
        <v>522</v>
      </c>
      <c r="E21" s="144" t="s">
        <v>499</v>
      </c>
      <c r="F21" s="143" t="s">
        <v>523</v>
      </c>
      <c r="G21" s="141" t="s">
        <v>543</v>
      </c>
      <c r="H21" s="203" t="s">
        <v>544</v>
      </c>
      <c r="I21" s="143" t="s">
        <v>526</v>
      </c>
      <c r="J21" s="144" t="s">
        <v>538</v>
      </c>
      <c r="K21" s="143" t="s">
        <v>341</v>
      </c>
      <c r="L21" s="196" t="s">
        <v>591</v>
      </c>
      <c r="M21" s="140" t="s">
        <v>545</v>
      </c>
      <c r="N21" s="140" t="s">
        <v>546</v>
      </c>
    </row>
    <row r="22" spans="1:14" s="120" customFormat="1" ht="120">
      <c r="A22" s="29" t="s">
        <v>257</v>
      </c>
      <c r="B22" s="145" t="s">
        <v>335</v>
      </c>
      <c r="C22" s="140" t="s">
        <v>337</v>
      </c>
      <c r="D22" s="144" t="s">
        <v>522</v>
      </c>
      <c r="E22" s="144" t="s">
        <v>499</v>
      </c>
      <c r="F22" s="143" t="s">
        <v>523</v>
      </c>
      <c r="G22" s="141" t="s">
        <v>547</v>
      </c>
      <c r="H22" s="203" t="s">
        <v>548</v>
      </c>
      <c r="I22" s="143" t="s">
        <v>526</v>
      </c>
      <c r="J22" s="144" t="s">
        <v>538</v>
      </c>
      <c r="K22" s="143" t="s">
        <v>341</v>
      </c>
      <c r="L22" s="196" t="s">
        <v>591</v>
      </c>
      <c r="M22" s="140" t="s">
        <v>545</v>
      </c>
      <c r="N22" s="140" t="s">
        <v>546</v>
      </c>
    </row>
    <row r="23" spans="1:14" s="120" customFormat="1" ht="150">
      <c r="A23" s="29" t="s">
        <v>257</v>
      </c>
      <c r="B23" s="143" t="s">
        <v>335</v>
      </c>
      <c r="C23" s="144" t="s">
        <v>337</v>
      </c>
      <c r="D23" s="143" t="s">
        <v>549</v>
      </c>
      <c r="E23" s="144" t="s">
        <v>499</v>
      </c>
      <c r="F23" s="143" t="s">
        <v>523</v>
      </c>
      <c r="G23" s="143" t="s">
        <v>550</v>
      </c>
      <c r="H23" s="143" t="s">
        <v>551</v>
      </c>
      <c r="I23" s="144" t="s">
        <v>526</v>
      </c>
      <c r="J23" s="144" t="s">
        <v>538</v>
      </c>
      <c r="K23" s="140" t="s">
        <v>342</v>
      </c>
      <c r="L23" s="196" t="s">
        <v>591</v>
      </c>
      <c r="M23" s="143" t="s">
        <v>552</v>
      </c>
      <c r="N23" s="143" t="s">
        <v>553</v>
      </c>
    </row>
    <row r="24" spans="1:14" s="120" customFormat="1" ht="240">
      <c r="A24" s="29" t="s">
        <v>257</v>
      </c>
      <c r="B24" s="143" t="s">
        <v>335</v>
      </c>
      <c r="C24" s="144" t="s">
        <v>337</v>
      </c>
      <c r="D24" s="144" t="s">
        <v>522</v>
      </c>
      <c r="E24" s="143" t="s">
        <v>499</v>
      </c>
      <c r="F24" s="143" t="s">
        <v>523</v>
      </c>
      <c r="G24" s="140" t="s">
        <v>554</v>
      </c>
      <c r="H24" s="140" t="s">
        <v>555</v>
      </c>
      <c r="I24" s="144" t="s">
        <v>526</v>
      </c>
      <c r="J24" s="142" t="s">
        <v>538</v>
      </c>
      <c r="K24" s="140" t="s">
        <v>342</v>
      </c>
      <c r="L24" s="196" t="s">
        <v>591</v>
      </c>
      <c r="M24" s="143" t="s">
        <v>556</v>
      </c>
      <c r="N24" s="143" t="s">
        <v>557</v>
      </c>
    </row>
    <row r="25" spans="1:14" s="120" customFormat="1" ht="110.4">
      <c r="A25" s="29" t="s">
        <v>257</v>
      </c>
      <c r="B25" s="143" t="s">
        <v>335</v>
      </c>
      <c r="C25" s="144" t="s">
        <v>337</v>
      </c>
      <c r="D25" s="144" t="s">
        <v>522</v>
      </c>
      <c r="E25" s="143" t="s">
        <v>499</v>
      </c>
      <c r="F25" s="143" t="s">
        <v>523</v>
      </c>
      <c r="G25" s="140" t="s">
        <v>554</v>
      </c>
      <c r="H25" s="140" t="s">
        <v>555</v>
      </c>
      <c r="I25" s="144" t="s">
        <v>526</v>
      </c>
      <c r="J25" s="142" t="s">
        <v>538</v>
      </c>
      <c r="K25" s="140" t="s">
        <v>342</v>
      </c>
      <c r="L25" s="196" t="s">
        <v>591</v>
      </c>
      <c r="M25" s="140" t="s">
        <v>558</v>
      </c>
      <c r="N25" s="143" t="s">
        <v>559</v>
      </c>
    </row>
    <row r="26" spans="1:14" s="120" customFormat="1" ht="110.4">
      <c r="A26" s="29" t="s">
        <v>257</v>
      </c>
      <c r="B26" s="143" t="s">
        <v>335</v>
      </c>
      <c r="C26" s="143" t="s">
        <v>337</v>
      </c>
      <c r="D26" s="144" t="s">
        <v>522</v>
      </c>
      <c r="E26" s="144" t="s">
        <v>499</v>
      </c>
      <c r="F26" s="143" t="s">
        <v>523</v>
      </c>
      <c r="G26" s="143" t="s">
        <v>560</v>
      </c>
      <c r="H26" s="143" t="s">
        <v>561</v>
      </c>
      <c r="I26" s="144" t="s">
        <v>526</v>
      </c>
      <c r="J26" s="144" t="s">
        <v>538</v>
      </c>
      <c r="K26" s="143" t="s">
        <v>343</v>
      </c>
      <c r="L26" s="196" t="s">
        <v>591</v>
      </c>
      <c r="M26" s="140" t="s">
        <v>562</v>
      </c>
      <c r="N26" s="143" t="s">
        <v>563</v>
      </c>
    </row>
    <row r="27" spans="1:14" s="120" customFormat="1" ht="195">
      <c r="A27" s="29" t="s">
        <v>259</v>
      </c>
      <c r="B27" s="143" t="s">
        <v>335</v>
      </c>
      <c r="C27" s="143" t="s">
        <v>337</v>
      </c>
      <c r="D27" s="143" t="s">
        <v>564</v>
      </c>
      <c r="E27" s="144" t="s">
        <v>499</v>
      </c>
      <c r="F27" s="121" t="s">
        <v>565</v>
      </c>
      <c r="G27" s="143" t="s">
        <v>566</v>
      </c>
      <c r="H27" s="143" t="s">
        <v>567</v>
      </c>
      <c r="I27" s="144" t="s">
        <v>526</v>
      </c>
      <c r="J27" s="144" t="s">
        <v>538</v>
      </c>
      <c r="K27" s="143" t="s">
        <v>344</v>
      </c>
      <c r="L27" s="196" t="s">
        <v>591</v>
      </c>
      <c r="M27" s="140" t="s">
        <v>568</v>
      </c>
      <c r="N27" s="141" t="s">
        <v>569</v>
      </c>
    </row>
    <row r="28" spans="1:14" s="120" customFormat="1" ht="195">
      <c r="A28" s="29" t="s">
        <v>259</v>
      </c>
      <c r="B28" s="143" t="s">
        <v>335</v>
      </c>
      <c r="C28" s="143" t="s">
        <v>337</v>
      </c>
      <c r="D28" s="143" t="s">
        <v>564</v>
      </c>
      <c r="E28" s="144" t="s">
        <v>499</v>
      </c>
      <c r="F28" s="143" t="s">
        <v>570</v>
      </c>
      <c r="G28" s="143" t="s">
        <v>571</v>
      </c>
      <c r="H28" s="143" t="s">
        <v>572</v>
      </c>
      <c r="I28" s="144" t="s">
        <v>526</v>
      </c>
      <c r="J28" s="144" t="s">
        <v>538</v>
      </c>
      <c r="K28" s="143" t="s">
        <v>345</v>
      </c>
      <c r="L28" s="196" t="s">
        <v>591</v>
      </c>
      <c r="M28" s="143" t="s">
        <v>573</v>
      </c>
      <c r="N28" s="141" t="s">
        <v>574</v>
      </c>
    </row>
    <row r="29" spans="1:14" s="120" customFormat="1" ht="110.4">
      <c r="A29" s="29" t="s">
        <v>257</v>
      </c>
      <c r="B29" s="140" t="s">
        <v>336</v>
      </c>
      <c r="C29" s="142" t="s">
        <v>337</v>
      </c>
      <c r="D29" s="144" t="s">
        <v>522</v>
      </c>
      <c r="E29" s="140" t="s">
        <v>499</v>
      </c>
      <c r="F29" s="140" t="s">
        <v>523</v>
      </c>
      <c r="G29" s="143" t="s">
        <v>575</v>
      </c>
      <c r="H29" s="140" t="s">
        <v>576</v>
      </c>
      <c r="I29" s="142" t="s">
        <v>526</v>
      </c>
      <c r="J29" s="142" t="s">
        <v>538</v>
      </c>
      <c r="K29" s="143" t="s">
        <v>346</v>
      </c>
      <c r="L29" s="196" t="s">
        <v>591</v>
      </c>
      <c r="M29" s="140" t="s">
        <v>577</v>
      </c>
      <c r="N29" s="143" t="s">
        <v>578</v>
      </c>
    </row>
    <row r="30" spans="1:14" s="120" customFormat="1" ht="110.4">
      <c r="A30" s="29" t="s">
        <v>257</v>
      </c>
      <c r="B30" s="140" t="s">
        <v>336</v>
      </c>
      <c r="C30" s="142" t="s">
        <v>337</v>
      </c>
      <c r="D30" s="144" t="s">
        <v>522</v>
      </c>
      <c r="E30" s="140" t="s">
        <v>499</v>
      </c>
      <c r="F30" s="140" t="s">
        <v>523</v>
      </c>
      <c r="G30" s="143" t="s">
        <v>575</v>
      </c>
      <c r="H30" s="140" t="s">
        <v>576</v>
      </c>
      <c r="I30" s="142" t="s">
        <v>526</v>
      </c>
      <c r="J30" s="142" t="s">
        <v>538</v>
      </c>
      <c r="K30" s="143" t="s">
        <v>346</v>
      </c>
      <c r="L30" s="196" t="s">
        <v>591</v>
      </c>
      <c r="M30" s="140" t="s">
        <v>579</v>
      </c>
      <c r="N30" s="143" t="s">
        <v>580</v>
      </c>
    </row>
    <row r="31" spans="1:14" s="120" customFormat="1" ht="195">
      <c r="A31" s="29" t="s">
        <v>259</v>
      </c>
      <c r="B31" s="140" t="s">
        <v>336</v>
      </c>
      <c r="C31" s="142" t="s">
        <v>337</v>
      </c>
      <c r="D31" s="140" t="s">
        <v>564</v>
      </c>
      <c r="E31" s="144" t="s">
        <v>499</v>
      </c>
      <c r="F31" s="140" t="s">
        <v>570</v>
      </c>
      <c r="G31" s="140" t="s">
        <v>581</v>
      </c>
      <c r="H31" s="140" t="s">
        <v>582</v>
      </c>
      <c r="I31" s="142" t="s">
        <v>526</v>
      </c>
      <c r="J31" s="142" t="s">
        <v>538</v>
      </c>
      <c r="K31" s="143" t="s">
        <v>346</v>
      </c>
      <c r="L31" s="196" t="s">
        <v>591</v>
      </c>
      <c r="M31" s="140" t="s">
        <v>437</v>
      </c>
      <c r="N31" s="143" t="s">
        <v>574</v>
      </c>
    </row>
    <row r="32" spans="1:14" s="120" customFormat="1" ht="195">
      <c r="A32" s="29" t="s">
        <v>259</v>
      </c>
      <c r="B32" s="140" t="s">
        <v>336</v>
      </c>
      <c r="C32" s="142" t="s">
        <v>337</v>
      </c>
      <c r="D32" s="143" t="s">
        <v>564</v>
      </c>
      <c r="E32" s="144" t="s">
        <v>499</v>
      </c>
      <c r="F32" s="140" t="s">
        <v>570</v>
      </c>
      <c r="G32" s="140" t="s">
        <v>581</v>
      </c>
      <c r="H32" s="140" t="s">
        <v>582</v>
      </c>
      <c r="I32" s="142" t="s">
        <v>526</v>
      </c>
      <c r="J32" s="142" t="s">
        <v>538</v>
      </c>
      <c r="K32" s="143" t="s">
        <v>346</v>
      </c>
      <c r="L32" s="196" t="s">
        <v>591</v>
      </c>
      <c r="M32" s="140" t="s">
        <v>439</v>
      </c>
      <c r="N32" s="143" t="s">
        <v>574</v>
      </c>
    </row>
    <row r="33" spans="1:14" s="120" customFormat="1" ht="195">
      <c r="A33" s="29" t="s">
        <v>259</v>
      </c>
      <c r="B33" s="140" t="s">
        <v>336</v>
      </c>
      <c r="C33" s="142" t="s">
        <v>337</v>
      </c>
      <c r="D33" s="143" t="s">
        <v>564</v>
      </c>
      <c r="E33" s="144" t="s">
        <v>499</v>
      </c>
      <c r="F33" s="140" t="s">
        <v>570</v>
      </c>
      <c r="G33" s="143" t="s">
        <v>583</v>
      </c>
      <c r="H33" s="143" t="s">
        <v>584</v>
      </c>
      <c r="I33" s="144" t="s">
        <v>526</v>
      </c>
      <c r="J33" s="144" t="s">
        <v>538</v>
      </c>
      <c r="K33" s="143" t="s">
        <v>346</v>
      </c>
      <c r="L33" s="196" t="s">
        <v>591</v>
      </c>
      <c r="M33" s="140" t="s">
        <v>585</v>
      </c>
      <c r="N33" s="143" t="s">
        <v>574</v>
      </c>
    </row>
    <row r="34" spans="1:14" s="120" customFormat="1" ht="110.4">
      <c r="A34" s="29" t="s">
        <v>257</v>
      </c>
      <c r="B34" s="143" t="s">
        <v>336</v>
      </c>
      <c r="C34" s="144" t="s">
        <v>337</v>
      </c>
      <c r="D34" s="144" t="s">
        <v>522</v>
      </c>
      <c r="E34" s="144" t="s">
        <v>499</v>
      </c>
      <c r="F34" s="143" t="s">
        <v>523</v>
      </c>
      <c r="G34" s="143" t="s">
        <v>560</v>
      </c>
      <c r="H34" s="143" t="s">
        <v>586</v>
      </c>
      <c r="I34" s="144" t="s">
        <v>526</v>
      </c>
      <c r="J34" s="144" t="s">
        <v>538</v>
      </c>
      <c r="K34" s="144" t="s">
        <v>347</v>
      </c>
      <c r="L34" s="196" t="s">
        <v>591</v>
      </c>
      <c r="M34" s="143" t="s">
        <v>587</v>
      </c>
      <c r="N34" s="143" t="s">
        <v>588</v>
      </c>
    </row>
    <row r="35" spans="1:14" s="120" customFormat="1" ht="110.4">
      <c r="A35" s="29" t="s">
        <v>257</v>
      </c>
      <c r="B35" s="143" t="s">
        <v>336</v>
      </c>
      <c r="C35" s="143" t="s">
        <v>337</v>
      </c>
      <c r="D35" s="144" t="s">
        <v>522</v>
      </c>
      <c r="E35" s="144" t="s">
        <v>499</v>
      </c>
      <c r="F35" s="143" t="s">
        <v>523</v>
      </c>
      <c r="G35" s="143" t="s">
        <v>560</v>
      </c>
      <c r="H35" s="143" t="s">
        <v>586</v>
      </c>
      <c r="I35" s="144" t="s">
        <v>526</v>
      </c>
      <c r="J35" s="144" t="s">
        <v>538</v>
      </c>
      <c r="K35" s="144" t="s">
        <v>347</v>
      </c>
      <c r="L35" s="196" t="s">
        <v>591</v>
      </c>
      <c r="M35" s="143" t="s">
        <v>587</v>
      </c>
      <c r="N35" s="143" t="s">
        <v>588</v>
      </c>
    </row>
    <row r="36" spans="1:14" s="120" customFormat="1" ht="110.4">
      <c r="A36" s="29" t="s">
        <v>257</v>
      </c>
      <c r="B36" s="143" t="s">
        <v>336</v>
      </c>
      <c r="C36" s="143" t="s">
        <v>337</v>
      </c>
      <c r="D36" s="144" t="s">
        <v>522</v>
      </c>
      <c r="E36" s="144" t="s">
        <v>499</v>
      </c>
      <c r="F36" s="143" t="s">
        <v>523</v>
      </c>
      <c r="G36" s="143" t="s">
        <v>560</v>
      </c>
      <c r="H36" s="143" t="s">
        <v>586</v>
      </c>
      <c r="I36" s="144" t="s">
        <v>526</v>
      </c>
      <c r="J36" s="144" t="s">
        <v>538</v>
      </c>
      <c r="K36" s="144" t="s">
        <v>348</v>
      </c>
      <c r="L36" s="196" t="s">
        <v>591</v>
      </c>
      <c r="M36" s="143" t="s">
        <v>589</v>
      </c>
      <c r="N36" s="143" t="s">
        <v>590</v>
      </c>
    </row>
  </sheetData>
  <mergeCells count="9">
    <mergeCell ref="A6:L7"/>
    <mergeCell ref="M6:N7"/>
    <mergeCell ref="A1:B4"/>
    <mergeCell ref="C1:M1"/>
    <mergeCell ref="C2:M2"/>
    <mergeCell ref="C3:M3"/>
    <mergeCell ref="C4:M4"/>
    <mergeCell ref="A5:B5"/>
    <mergeCell ref="C5:N5"/>
  </mergeCells>
  <dataValidations count="1">
    <dataValidation type="list" allowBlank="1" showInputMessage="1" showErrorMessage="1" sqref="K37:K118" xr:uid="{00000000-0002-0000-0300-000000000000}">
      <formula1>$Q$11:$Q$16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55"/>
  <sheetViews>
    <sheetView topLeftCell="B4" zoomScale="70" zoomScaleNormal="70" workbookViewId="0">
      <pane xSplit="1" ySplit="5" topLeftCell="AR137" activePane="bottomRight" state="frozen"/>
      <selection activeCell="B8" sqref="B8"/>
      <selection pane="topRight" activeCell="C8" sqref="C8"/>
      <selection pane="bottomLeft" activeCell="B9" sqref="B9"/>
      <selection pane="bottomRight" activeCell="BI150" sqref="BI150"/>
    </sheetView>
  </sheetViews>
  <sheetFormatPr baseColWidth="10" defaultColWidth="11.6640625" defaultRowHeight="25.8" customHeight="1"/>
  <cols>
    <col min="1" max="1" width="40" style="154" customWidth="1"/>
    <col min="2" max="2" width="34.88671875" style="154" customWidth="1"/>
    <col min="3" max="3" width="23.21875" style="154" customWidth="1"/>
    <col min="4" max="4" width="28.33203125" style="154" customWidth="1"/>
    <col min="5" max="5" width="38.77734375" style="154" customWidth="1"/>
    <col min="6" max="6" width="35.109375" style="154" customWidth="1"/>
    <col min="7" max="7" width="41.109375" style="154" customWidth="1"/>
    <col min="8" max="8" width="47" style="154" customWidth="1"/>
    <col min="9" max="9" width="39.109375" style="154" customWidth="1"/>
    <col min="10" max="10" width="34.33203125" style="154" customWidth="1"/>
    <col min="11" max="11" width="24.21875" style="154" customWidth="1"/>
    <col min="12" max="12" width="29.33203125" style="167" customWidth="1"/>
    <col min="13" max="13" width="25.6640625" style="154" customWidth="1"/>
    <col min="14" max="14" width="51.77734375" style="154" customWidth="1"/>
    <col min="15" max="15" width="14.88671875" style="154" customWidth="1"/>
    <col min="16" max="16" width="11.5546875" style="154" customWidth="1"/>
    <col min="17" max="21" width="9.5546875" style="154" customWidth="1"/>
    <col min="22" max="22" width="11.21875" style="154" customWidth="1"/>
    <col min="23" max="23" width="47.77734375" style="154" customWidth="1"/>
    <col min="24" max="24" width="44" style="154" customWidth="1"/>
    <col min="25" max="25" width="35.77734375" style="154" customWidth="1"/>
    <col min="26" max="26" width="35.88671875" style="154" customWidth="1"/>
    <col min="27" max="27" width="31.77734375" style="154" customWidth="1"/>
    <col min="28" max="28" width="32.88671875" style="154" customWidth="1"/>
    <col min="29" max="29" width="29" style="154" customWidth="1"/>
    <col min="30" max="30" width="67.21875" style="154" customWidth="1"/>
    <col min="31" max="31" width="31.21875" style="154" customWidth="1"/>
    <col min="32" max="32" width="46.21875" style="154" bestFit="1" customWidth="1"/>
    <col min="33" max="33" width="46.21875" style="154" customWidth="1"/>
    <col min="34" max="34" width="29.21875" style="154" bestFit="1" customWidth="1"/>
    <col min="35" max="35" width="50.33203125" style="154" customWidth="1"/>
    <col min="36" max="36" width="16.88671875" style="154" customWidth="1"/>
    <col min="37" max="37" width="12.44140625" style="154" customWidth="1"/>
    <col min="38" max="38" width="56.77734375" style="154" customWidth="1"/>
    <col min="39" max="39" width="51.6640625" style="154" customWidth="1"/>
    <col min="40" max="43" width="30.88671875" style="154" customWidth="1"/>
    <col min="44" max="44" width="26.77734375" style="168" bestFit="1" customWidth="1"/>
    <col min="45" max="45" width="44" style="154" customWidth="1"/>
    <col min="46" max="57" width="41" style="154" hidden="1" customWidth="1"/>
    <col min="58" max="61" width="41" style="154" customWidth="1"/>
    <col min="62" max="62" width="126.109375" style="154" customWidth="1"/>
    <col min="63" max="63" width="75" style="154" customWidth="1"/>
    <col min="64" max="64" width="56.88671875" style="154" customWidth="1"/>
    <col min="65" max="66" width="11.21875" style="154" customWidth="1"/>
    <col min="67" max="16384" width="11.6640625" style="154"/>
  </cols>
  <sheetData>
    <row r="1" spans="1:63" ht="25.8" customHeight="1">
      <c r="A1" s="654"/>
      <c r="B1" s="654"/>
      <c r="C1" s="655" t="s">
        <v>0</v>
      </c>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7"/>
      <c r="AS1" s="658" t="s">
        <v>188</v>
      </c>
      <c r="AT1" s="659"/>
      <c r="AU1" s="659"/>
      <c r="AV1" s="659"/>
      <c r="AW1" s="659"/>
      <c r="AX1" s="659"/>
      <c r="AY1" s="659"/>
      <c r="AZ1" s="659"/>
      <c r="BA1" s="659"/>
      <c r="BB1" s="659"/>
      <c r="BC1" s="659"/>
      <c r="BD1" s="659"/>
      <c r="BE1" s="659"/>
      <c r="BF1" s="659"/>
      <c r="BG1" s="659"/>
      <c r="BH1" s="659"/>
      <c r="BI1" s="659"/>
    </row>
    <row r="2" spans="1:63" ht="25.8" customHeight="1">
      <c r="A2" s="654"/>
      <c r="B2" s="654"/>
      <c r="C2" s="655" t="s">
        <v>1</v>
      </c>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6"/>
      <c r="AM2" s="656"/>
      <c r="AN2" s="656"/>
      <c r="AO2" s="656"/>
      <c r="AP2" s="656"/>
      <c r="AQ2" s="656"/>
      <c r="AR2" s="657"/>
      <c r="AS2" s="658" t="s">
        <v>2</v>
      </c>
      <c r="AT2" s="659"/>
      <c r="AU2" s="659"/>
      <c r="AV2" s="659"/>
      <c r="AW2" s="659"/>
      <c r="AX2" s="659"/>
      <c r="AY2" s="659"/>
      <c r="AZ2" s="659"/>
      <c r="BA2" s="659"/>
      <c r="BB2" s="659"/>
      <c r="BC2" s="659"/>
      <c r="BD2" s="659"/>
      <c r="BE2" s="659"/>
      <c r="BF2" s="659"/>
      <c r="BG2" s="659"/>
      <c r="BH2" s="659"/>
      <c r="BI2" s="659"/>
    </row>
    <row r="3" spans="1:63" ht="25.8" customHeight="1">
      <c r="A3" s="654"/>
      <c r="B3" s="654"/>
      <c r="C3" s="655" t="s">
        <v>3</v>
      </c>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656"/>
      <c r="AJ3" s="656"/>
      <c r="AK3" s="656"/>
      <c r="AL3" s="656"/>
      <c r="AM3" s="656"/>
      <c r="AN3" s="656"/>
      <c r="AO3" s="656"/>
      <c r="AP3" s="656"/>
      <c r="AQ3" s="656"/>
      <c r="AR3" s="657"/>
      <c r="AS3" s="658" t="s">
        <v>187</v>
      </c>
      <c r="AT3" s="659"/>
      <c r="AU3" s="659"/>
      <c r="AV3" s="659"/>
      <c r="AW3" s="659"/>
      <c r="AX3" s="659"/>
      <c r="AY3" s="659"/>
      <c r="AZ3" s="659"/>
      <c r="BA3" s="659"/>
      <c r="BB3" s="659"/>
      <c r="BC3" s="659"/>
      <c r="BD3" s="659"/>
      <c r="BE3" s="659"/>
      <c r="BF3" s="659"/>
      <c r="BG3" s="659"/>
      <c r="BH3" s="659"/>
      <c r="BI3" s="659"/>
    </row>
    <row r="4" spans="1:63" ht="25.8" customHeight="1">
      <c r="A4" s="654"/>
      <c r="B4" s="654"/>
      <c r="C4" s="655" t="s">
        <v>136</v>
      </c>
      <c r="D4" s="656"/>
      <c r="E4" s="656"/>
      <c r="F4" s="656"/>
      <c r="G4" s="656"/>
      <c r="H4" s="656"/>
      <c r="I4" s="656"/>
      <c r="J4" s="656"/>
      <c r="K4" s="656"/>
      <c r="L4" s="656"/>
      <c r="M4" s="656"/>
      <c r="N4" s="656"/>
      <c r="O4" s="656"/>
      <c r="P4" s="656"/>
      <c r="Q4" s="656"/>
      <c r="R4" s="656"/>
      <c r="S4" s="656"/>
      <c r="T4" s="656"/>
      <c r="U4" s="656"/>
      <c r="V4" s="656"/>
      <c r="W4" s="656"/>
      <c r="X4" s="656"/>
      <c r="Y4" s="656"/>
      <c r="Z4" s="656"/>
      <c r="AA4" s="656"/>
      <c r="AB4" s="656"/>
      <c r="AC4" s="656"/>
      <c r="AD4" s="656"/>
      <c r="AE4" s="656"/>
      <c r="AF4" s="656"/>
      <c r="AG4" s="656"/>
      <c r="AH4" s="656"/>
      <c r="AI4" s="656"/>
      <c r="AJ4" s="656"/>
      <c r="AK4" s="656"/>
      <c r="AL4" s="656"/>
      <c r="AM4" s="656"/>
      <c r="AN4" s="656"/>
      <c r="AO4" s="656"/>
      <c r="AP4" s="656"/>
      <c r="AQ4" s="656"/>
      <c r="AR4" s="657"/>
      <c r="AS4" s="658" t="s">
        <v>190</v>
      </c>
      <c r="AT4" s="659"/>
      <c r="AU4" s="659"/>
      <c r="AV4" s="659"/>
      <c r="AW4" s="659"/>
      <c r="AX4" s="659"/>
      <c r="AY4" s="659"/>
      <c r="AZ4" s="659"/>
      <c r="BA4" s="659"/>
      <c r="BB4" s="659"/>
      <c r="BC4" s="659"/>
      <c r="BD4" s="659"/>
      <c r="BE4" s="659"/>
      <c r="BF4" s="659"/>
      <c r="BG4" s="659"/>
      <c r="BH4" s="659"/>
      <c r="BI4" s="659"/>
    </row>
    <row r="5" spans="1:63" ht="25.8" customHeight="1">
      <c r="A5" s="645" t="s">
        <v>4</v>
      </c>
      <c r="B5" s="646"/>
      <c r="C5" s="646"/>
      <c r="D5" s="646"/>
      <c r="E5" s="646"/>
      <c r="F5" s="646"/>
      <c r="G5" s="646"/>
      <c r="H5" s="646"/>
      <c r="I5" s="646"/>
      <c r="J5" s="646"/>
      <c r="K5" s="646"/>
      <c r="L5" s="646"/>
      <c r="M5" s="646"/>
      <c r="N5" s="646"/>
      <c r="O5" s="646"/>
      <c r="P5" s="646"/>
      <c r="Q5" s="646"/>
      <c r="R5" s="646"/>
      <c r="S5" s="646"/>
      <c r="T5" s="646"/>
      <c r="U5" s="646"/>
      <c r="V5" s="646"/>
      <c r="W5" s="646"/>
      <c r="X5" s="646"/>
      <c r="Y5" s="646"/>
      <c r="Z5" s="646"/>
      <c r="AA5" s="646"/>
      <c r="AB5" s="646"/>
      <c r="AC5" s="646"/>
      <c r="AD5" s="646"/>
      <c r="AE5" s="646"/>
      <c r="AF5" s="646"/>
      <c r="AG5" s="646"/>
      <c r="AH5" s="646"/>
      <c r="AI5" s="646"/>
      <c r="AJ5" s="646"/>
      <c r="AK5" s="646"/>
      <c r="AL5" s="646"/>
      <c r="AM5" s="646"/>
      <c r="AN5" s="646"/>
      <c r="AO5" s="646"/>
      <c r="AP5" s="646"/>
      <c r="AQ5" s="646"/>
      <c r="AR5" s="646"/>
      <c r="AS5" s="646"/>
      <c r="AT5" s="646"/>
      <c r="AU5" s="646"/>
      <c r="AV5" s="646"/>
      <c r="AW5" s="646"/>
      <c r="AX5" s="646"/>
      <c r="AY5" s="646"/>
      <c r="AZ5" s="646"/>
      <c r="BA5" s="646"/>
      <c r="BB5" s="646"/>
      <c r="BC5" s="646"/>
      <c r="BD5" s="646"/>
      <c r="BE5" s="646"/>
      <c r="BF5" s="646"/>
      <c r="BG5" s="646"/>
      <c r="BH5" s="646"/>
      <c r="BI5" s="646"/>
    </row>
    <row r="6" spans="1:63" ht="25.8" customHeight="1">
      <c r="A6" s="647" t="s">
        <v>146</v>
      </c>
      <c r="B6" s="647"/>
      <c r="C6" s="647"/>
      <c r="D6" s="647"/>
      <c r="E6" s="647"/>
      <c r="F6" s="647"/>
      <c r="G6" s="647"/>
      <c r="H6" s="647"/>
      <c r="I6" s="647"/>
      <c r="J6" s="647"/>
      <c r="K6" s="647"/>
      <c r="L6" s="647"/>
      <c r="M6" s="647"/>
      <c r="N6" s="647"/>
      <c r="O6" s="647"/>
      <c r="P6" s="647"/>
      <c r="Q6" s="647"/>
      <c r="R6" s="647"/>
      <c r="S6" s="647"/>
      <c r="T6" s="647"/>
      <c r="U6" s="647"/>
      <c r="V6" s="647"/>
      <c r="W6" s="647"/>
      <c r="X6" s="647"/>
      <c r="Y6" s="647"/>
      <c r="Z6" s="647"/>
      <c r="AA6" s="647"/>
      <c r="AB6" s="647"/>
      <c r="AC6" s="647"/>
      <c r="AD6" s="648"/>
      <c r="AE6" s="652" t="s">
        <v>72</v>
      </c>
      <c r="AF6" s="647"/>
      <c r="AG6" s="647"/>
      <c r="AH6" s="647"/>
      <c r="AI6" s="647"/>
      <c r="AJ6" s="647"/>
      <c r="AK6" s="331"/>
      <c r="AL6" s="331"/>
      <c r="AM6" s="652" t="s">
        <v>5</v>
      </c>
      <c r="AN6" s="647"/>
      <c r="AO6" s="647"/>
      <c r="AP6" s="647"/>
      <c r="AQ6" s="647"/>
      <c r="AR6" s="647"/>
      <c r="AS6" s="647"/>
      <c r="AT6" s="647"/>
      <c r="AU6" s="647"/>
      <c r="AV6" s="647"/>
      <c r="AW6" s="647"/>
      <c r="AX6" s="647"/>
      <c r="AY6" s="647"/>
      <c r="AZ6" s="647"/>
      <c r="BA6" s="647"/>
      <c r="BB6" s="647"/>
      <c r="BC6" s="647"/>
      <c r="BD6" s="647"/>
      <c r="BE6" s="647"/>
      <c r="BF6" s="647"/>
      <c r="BG6" s="647"/>
      <c r="BH6" s="647"/>
      <c r="BI6" s="647"/>
    </row>
    <row r="7" spans="1:63" ht="25.8" customHeight="1">
      <c r="A7" s="649"/>
      <c r="B7" s="649"/>
      <c r="C7" s="649"/>
      <c r="D7" s="649"/>
      <c r="E7" s="649"/>
      <c r="F7" s="649"/>
      <c r="G7" s="649"/>
      <c r="H7" s="649"/>
      <c r="I7" s="649"/>
      <c r="J7" s="649"/>
      <c r="K7" s="649"/>
      <c r="L7" s="650"/>
      <c r="M7" s="650"/>
      <c r="N7" s="650"/>
      <c r="O7" s="650"/>
      <c r="P7" s="650"/>
      <c r="Q7" s="650"/>
      <c r="R7" s="649"/>
      <c r="S7" s="649"/>
      <c r="T7" s="649"/>
      <c r="U7" s="649"/>
      <c r="V7" s="649"/>
      <c r="W7" s="649"/>
      <c r="X7" s="649"/>
      <c r="Y7" s="649"/>
      <c r="Z7" s="649"/>
      <c r="AA7" s="649"/>
      <c r="AB7" s="649"/>
      <c r="AC7" s="649"/>
      <c r="AD7" s="651"/>
      <c r="AE7" s="653"/>
      <c r="AF7" s="649"/>
      <c r="AG7" s="649"/>
      <c r="AH7" s="649"/>
      <c r="AI7" s="649"/>
      <c r="AJ7" s="649"/>
      <c r="AK7" s="438"/>
      <c r="AL7" s="438"/>
      <c r="AM7" s="653"/>
      <c r="AN7" s="649"/>
      <c r="AO7" s="649"/>
      <c r="AP7" s="649"/>
      <c r="AQ7" s="649"/>
      <c r="AR7" s="649"/>
      <c r="AS7" s="649"/>
      <c r="AT7" s="649"/>
      <c r="AU7" s="649"/>
      <c r="AV7" s="649"/>
      <c r="AW7" s="649"/>
      <c r="AX7" s="649"/>
      <c r="AY7" s="649"/>
      <c r="AZ7" s="649"/>
      <c r="BA7" s="649"/>
      <c r="BB7" s="649"/>
      <c r="BC7" s="649"/>
      <c r="BD7" s="649"/>
      <c r="BE7" s="649"/>
      <c r="BF7" s="649"/>
      <c r="BG7" s="649"/>
      <c r="BH7" s="649"/>
      <c r="BI7" s="649"/>
    </row>
    <row r="8" spans="1:63" s="206" customFormat="1" ht="85.8" customHeight="1">
      <c r="A8" s="305" t="s">
        <v>77</v>
      </c>
      <c r="B8" s="305" t="s">
        <v>6</v>
      </c>
      <c r="C8" s="305" t="s">
        <v>168</v>
      </c>
      <c r="D8" s="119" t="s">
        <v>409</v>
      </c>
      <c r="E8" s="119" t="s">
        <v>9</v>
      </c>
      <c r="F8" s="305" t="s">
        <v>10</v>
      </c>
      <c r="G8" s="119" t="s">
        <v>126</v>
      </c>
      <c r="H8" s="119" t="s">
        <v>171</v>
      </c>
      <c r="I8" s="119" t="s">
        <v>127</v>
      </c>
      <c r="J8" s="209" t="s">
        <v>826</v>
      </c>
      <c r="K8" s="119" t="s">
        <v>176</v>
      </c>
      <c r="L8" s="332" t="s">
        <v>166</v>
      </c>
      <c r="M8" s="332" t="s">
        <v>183</v>
      </c>
      <c r="N8" s="332" t="s">
        <v>11</v>
      </c>
      <c r="O8" s="394" t="s">
        <v>643</v>
      </c>
      <c r="P8" s="333" t="s">
        <v>644</v>
      </c>
      <c r="Q8" s="119" t="s">
        <v>954</v>
      </c>
      <c r="R8" s="119" t="s">
        <v>951</v>
      </c>
      <c r="S8" s="453" t="s">
        <v>952</v>
      </c>
      <c r="T8" s="119" t="s">
        <v>953</v>
      </c>
      <c r="U8" s="119" t="s">
        <v>955</v>
      </c>
      <c r="V8" s="454" t="s">
        <v>956</v>
      </c>
      <c r="W8" s="332" t="s">
        <v>128</v>
      </c>
      <c r="X8" s="332" t="s">
        <v>129</v>
      </c>
      <c r="Y8" s="305" t="s">
        <v>15</v>
      </c>
      <c r="Z8" s="305" t="s">
        <v>16</v>
      </c>
      <c r="AA8" s="305" t="s">
        <v>141</v>
      </c>
      <c r="AB8" s="305" t="s">
        <v>35</v>
      </c>
      <c r="AC8" s="305" t="s">
        <v>82</v>
      </c>
      <c r="AD8" s="305" t="s">
        <v>83</v>
      </c>
      <c r="AE8" s="119" t="s">
        <v>21</v>
      </c>
      <c r="AF8" s="119" t="s">
        <v>131</v>
      </c>
      <c r="AG8" s="119" t="s">
        <v>181</v>
      </c>
      <c r="AH8" s="119" t="s">
        <v>22</v>
      </c>
      <c r="AI8" s="119" t="s">
        <v>23</v>
      </c>
      <c r="AJ8" s="209" t="s">
        <v>24</v>
      </c>
      <c r="AK8" s="119" t="s">
        <v>24</v>
      </c>
      <c r="AL8" s="119" t="s">
        <v>405</v>
      </c>
      <c r="AM8" s="305" t="s">
        <v>18</v>
      </c>
      <c r="AN8" s="305" t="s">
        <v>957</v>
      </c>
      <c r="AO8" s="305" t="s">
        <v>958</v>
      </c>
      <c r="AP8" s="305" t="s">
        <v>959</v>
      </c>
      <c r="AQ8" s="305" t="s">
        <v>960</v>
      </c>
      <c r="AR8" s="305" t="s">
        <v>17</v>
      </c>
      <c r="AS8" s="305" t="s">
        <v>19</v>
      </c>
      <c r="AT8" s="305" t="s">
        <v>961</v>
      </c>
      <c r="AU8" s="305" t="s">
        <v>962</v>
      </c>
      <c r="AV8" s="305" t="s">
        <v>963</v>
      </c>
      <c r="AW8" s="305" t="s">
        <v>964</v>
      </c>
      <c r="AX8" s="305" t="s">
        <v>965</v>
      </c>
      <c r="AY8" s="305" t="s">
        <v>966</v>
      </c>
      <c r="AZ8" s="305" t="s">
        <v>967</v>
      </c>
      <c r="BA8" s="305" t="s">
        <v>968</v>
      </c>
      <c r="BB8" s="305" t="s">
        <v>969</v>
      </c>
      <c r="BC8" s="305" t="s">
        <v>970</v>
      </c>
      <c r="BD8" s="305" t="s">
        <v>971</v>
      </c>
      <c r="BE8" s="305" t="s">
        <v>972</v>
      </c>
      <c r="BF8" s="305" t="s">
        <v>973</v>
      </c>
      <c r="BG8" s="305" t="s">
        <v>974</v>
      </c>
      <c r="BH8" s="305" t="s">
        <v>975</v>
      </c>
      <c r="BI8" s="305" t="s">
        <v>976</v>
      </c>
      <c r="BJ8" s="119" t="s">
        <v>827</v>
      </c>
      <c r="BK8" s="462" t="s">
        <v>1028</v>
      </c>
    </row>
    <row r="9" spans="1:63" ht="25.8" customHeight="1">
      <c r="A9" s="439" t="s">
        <v>255</v>
      </c>
      <c r="B9" s="439" t="s">
        <v>196</v>
      </c>
      <c r="C9" s="440" t="s">
        <v>355</v>
      </c>
      <c r="D9" s="439" t="s">
        <v>205</v>
      </c>
      <c r="E9" s="439" t="s">
        <v>260</v>
      </c>
      <c r="F9" s="441">
        <v>2024130010112</v>
      </c>
      <c r="G9" s="436" t="s">
        <v>271</v>
      </c>
      <c r="H9" s="439" t="s">
        <v>281</v>
      </c>
      <c r="I9" s="439" t="s">
        <v>234</v>
      </c>
      <c r="J9" s="442">
        <v>0</v>
      </c>
      <c r="K9" s="443">
        <v>0.25</v>
      </c>
      <c r="L9" s="436" t="s">
        <v>495</v>
      </c>
      <c r="M9" s="356"/>
      <c r="N9" s="427" t="s">
        <v>633</v>
      </c>
      <c r="O9" s="427">
        <v>0</v>
      </c>
      <c r="P9" s="437">
        <v>4</v>
      </c>
      <c r="Q9" s="444">
        <v>0</v>
      </c>
      <c r="R9" s="442">
        <v>1</v>
      </c>
      <c r="S9" s="442">
        <v>0</v>
      </c>
      <c r="T9" s="445">
        <v>0</v>
      </c>
      <c r="U9" s="459">
        <f>SUM(Q9:T9)</f>
        <v>1</v>
      </c>
      <c r="V9" s="446">
        <f>+U9/P9</f>
        <v>0.25</v>
      </c>
      <c r="W9" s="447">
        <v>45660</v>
      </c>
      <c r="X9" s="447">
        <v>46022</v>
      </c>
      <c r="Y9" s="448">
        <f>+X9-W9</f>
        <v>362</v>
      </c>
      <c r="Z9" s="356" t="s">
        <v>349</v>
      </c>
      <c r="AA9" s="427" t="s">
        <v>352</v>
      </c>
      <c r="AB9" s="427" t="s">
        <v>356</v>
      </c>
      <c r="AC9" s="427" t="s">
        <v>371</v>
      </c>
      <c r="AD9" s="427" t="s">
        <v>372</v>
      </c>
      <c r="AE9" s="449" t="s">
        <v>351</v>
      </c>
      <c r="AF9" s="427" t="s">
        <v>593</v>
      </c>
      <c r="AG9" s="450">
        <v>200000000</v>
      </c>
      <c r="AH9" s="356" t="s">
        <v>55</v>
      </c>
      <c r="AI9" s="356" t="s">
        <v>49</v>
      </c>
      <c r="AJ9" s="356"/>
      <c r="AK9" s="356"/>
      <c r="AL9" s="451" t="s">
        <v>828</v>
      </c>
      <c r="AM9" s="613">
        <v>16069279515</v>
      </c>
      <c r="AN9" s="613">
        <v>33466088720.579998</v>
      </c>
      <c r="AO9" s="613">
        <v>47422007562.490005</v>
      </c>
      <c r="AP9" s="604">
        <v>47422007562.490005</v>
      </c>
      <c r="AQ9" s="433">
        <v>295000000</v>
      </c>
      <c r="AR9" s="469" t="s">
        <v>1067</v>
      </c>
      <c r="AS9" s="339" t="s">
        <v>260</v>
      </c>
      <c r="AT9" s="637">
        <v>6188370665</v>
      </c>
      <c r="AU9" s="660">
        <f>+AT9/AN9</f>
        <v>0.18491466740164519</v>
      </c>
      <c r="AV9" s="637">
        <v>6188370665</v>
      </c>
      <c r="AW9" s="660">
        <f>+AV9/AN9</f>
        <v>0.18491466740164519</v>
      </c>
      <c r="AX9" s="621">
        <v>22824053175.66</v>
      </c>
      <c r="AY9" s="592">
        <f>+AX9/AO9</f>
        <v>0.48129664577324716</v>
      </c>
      <c r="AZ9" s="621">
        <v>17056586890.17</v>
      </c>
      <c r="BA9" s="592">
        <f>+AZ9/AO9</f>
        <v>0.3596766093821272</v>
      </c>
      <c r="BB9" s="604">
        <v>37840987626.169998</v>
      </c>
      <c r="BC9" s="592">
        <f>+BB9/AP9</f>
        <v>0.79796258259006247</v>
      </c>
      <c r="BD9" s="604">
        <v>37840987626.169998</v>
      </c>
      <c r="BE9" s="592">
        <f>+BD9/AP9</f>
        <v>0.79796258259006247</v>
      </c>
      <c r="BF9" s="452">
        <v>257463571.09</v>
      </c>
      <c r="BG9" s="427"/>
      <c r="BH9" s="452">
        <v>215171559.09999999</v>
      </c>
      <c r="BI9" s="427"/>
      <c r="BJ9" s="439" t="s">
        <v>824</v>
      </c>
      <c r="BK9" s="683" t="s">
        <v>1029</v>
      </c>
    </row>
    <row r="10" spans="1:63" ht="25.8" customHeight="1">
      <c r="A10" s="29" t="s">
        <v>255</v>
      </c>
      <c r="B10" s="29" t="s">
        <v>196</v>
      </c>
      <c r="C10" s="334" t="s">
        <v>355</v>
      </c>
      <c r="D10" s="29" t="s">
        <v>205</v>
      </c>
      <c r="E10" s="29" t="s">
        <v>260</v>
      </c>
      <c r="F10" s="335">
        <v>2024130010112</v>
      </c>
      <c r="G10" s="336" t="s">
        <v>271</v>
      </c>
      <c r="H10" s="29" t="s">
        <v>281</v>
      </c>
      <c r="I10" s="29" t="s">
        <v>234</v>
      </c>
      <c r="J10" s="337">
        <v>0</v>
      </c>
      <c r="K10" s="338">
        <v>0.25</v>
      </c>
      <c r="L10" s="336" t="s">
        <v>494</v>
      </c>
      <c r="M10" s="206"/>
      <c r="N10" s="339" t="s">
        <v>633</v>
      </c>
      <c r="O10" s="339">
        <v>0</v>
      </c>
      <c r="P10" s="340">
        <v>4</v>
      </c>
      <c r="Q10" s="428">
        <v>0</v>
      </c>
      <c r="R10" s="337">
        <v>1</v>
      </c>
      <c r="S10" s="337">
        <v>0</v>
      </c>
      <c r="T10" s="435">
        <v>0</v>
      </c>
      <c r="U10" s="172">
        <f t="shared" ref="U10:U73" si="0">SUM(Q10:T10)</f>
        <v>1</v>
      </c>
      <c r="V10" s="349">
        <f t="shared" ref="V10:V38" si="1">+U10/P10</f>
        <v>0.25</v>
      </c>
      <c r="W10" s="341">
        <v>45660</v>
      </c>
      <c r="X10" s="341">
        <v>46022</v>
      </c>
      <c r="Y10" s="342">
        <f>+X10-W10</f>
        <v>362</v>
      </c>
      <c r="Z10" s="206" t="s">
        <v>349</v>
      </c>
      <c r="AA10" s="339" t="s">
        <v>352</v>
      </c>
      <c r="AB10" s="339" t="s">
        <v>356</v>
      </c>
      <c r="AC10" s="339" t="s">
        <v>371</v>
      </c>
      <c r="AD10" s="339" t="s">
        <v>372</v>
      </c>
      <c r="AE10" s="343" t="s">
        <v>351</v>
      </c>
      <c r="AF10" s="339" t="s">
        <v>593</v>
      </c>
      <c r="AG10" s="344">
        <v>200000000</v>
      </c>
      <c r="AH10" s="206" t="s">
        <v>55</v>
      </c>
      <c r="AI10" s="206" t="s">
        <v>49</v>
      </c>
      <c r="AJ10" s="206"/>
      <c r="AK10" s="206"/>
      <c r="AL10" s="345" t="s">
        <v>829</v>
      </c>
      <c r="AM10" s="596"/>
      <c r="AN10" s="596"/>
      <c r="AO10" s="596"/>
      <c r="AP10" s="605"/>
      <c r="AQ10" s="433">
        <v>5755643819</v>
      </c>
      <c r="AR10" s="469" t="s">
        <v>1056</v>
      </c>
      <c r="AS10" s="339" t="s">
        <v>260</v>
      </c>
      <c r="AT10" s="638"/>
      <c r="AU10" s="661"/>
      <c r="AV10" s="638"/>
      <c r="AW10" s="661"/>
      <c r="AX10" s="622"/>
      <c r="AY10" s="593"/>
      <c r="AZ10" s="622"/>
      <c r="BA10" s="593"/>
      <c r="BB10" s="605"/>
      <c r="BC10" s="593"/>
      <c r="BD10" s="605"/>
      <c r="BE10" s="593"/>
      <c r="BF10" s="433">
        <v>5646790925.0699997</v>
      </c>
      <c r="BG10" s="339"/>
      <c r="BH10" s="433">
        <v>5056994138.8000002</v>
      </c>
      <c r="BI10" s="339"/>
      <c r="BJ10" s="29" t="s">
        <v>824</v>
      </c>
      <c r="BK10" s="683"/>
    </row>
    <row r="11" spans="1:63" ht="25.8" customHeight="1">
      <c r="A11" s="29" t="s">
        <v>255</v>
      </c>
      <c r="B11" s="29" t="s">
        <v>196</v>
      </c>
      <c r="C11" s="334" t="s">
        <v>355</v>
      </c>
      <c r="D11" s="29" t="s">
        <v>205</v>
      </c>
      <c r="E11" s="29" t="s">
        <v>260</v>
      </c>
      <c r="F11" s="335">
        <v>2024130010112</v>
      </c>
      <c r="G11" s="336" t="s">
        <v>271</v>
      </c>
      <c r="H11" s="29" t="s">
        <v>281</v>
      </c>
      <c r="I11" s="29" t="s">
        <v>234</v>
      </c>
      <c r="J11" s="337">
        <v>0</v>
      </c>
      <c r="K11" s="338">
        <v>0.25</v>
      </c>
      <c r="L11" s="336" t="s">
        <v>494</v>
      </c>
      <c r="N11" s="339" t="s">
        <v>633</v>
      </c>
      <c r="O11" s="339">
        <v>0</v>
      </c>
      <c r="P11" s="340">
        <v>4</v>
      </c>
      <c r="Q11" s="428">
        <v>0</v>
      </c>
      <c r="R11" s="337">
        <v>1</v>
      </c>
      <c r="S11" s="337">
        <v>0</v>
      </c>
      <c r="T11" s="435">
        <v>0</v>
      </c>
      <c r="U11" s="172">
        <f t="shared" si="0"/>
        <v>1</v>
      </c>
      <c r="V11" s="349">
        <f t="shared" si="1"/>
        <v>0.25</v>
      </c>
      <c r="W11" s="341">
        <v>45660</v>
      </c>
      <c r="X11" s="341">
        <v>46022</v>
      </c>
      <c r="Y11" s="342">
        <f t="shared" ref="Y11:Y76" si="2">+X11-W11</f>
        <v>362</v>
      </c>
      <c r="Z11" s="206" t="s">
        <v>349</v>
      </c>
      <c r="AA11" s="339" t="s">
        <v>352</v>
      </c>
      <c r="AB11" s="339" t="s">
        <v>356</v>
      </c>
      <c r="AC11" s="339" t="s">
        <v>371</v>
      </c>
      <c r="AD11" s="339" t="s">
        <v>372</v>
      </c>
      <c r="AE11" s="343" t="s">
        <v>351</v>
      </c>
      <c r="AF11" s="339" t="s">
        <v>708</v>
      </c>
      <c r="AG11" s="344">
        <v>2900000000</v>
      </c>
      <c r="AH11" s="206" t="s">
        <v>50</v>
      </c>
      <c r="AI11" s="206" t="s">
        <v>49</v>
      </c>
      <c r="AJ11" s="206"/>
      <c r="AK11" s="206"/>
      <c r="AL11" s="345" t="s">
        <v>830</v>
      </c>
      <c r="AM11" s="596"/>
      <c r="AN11" s="596"/>
      <c r="AO11" s="596"/>
      <c r="AP11" s="605"/>
      <c r="AQ11" s="433">
        <v>89446000000</v>
      </c>
      <c r="AR11" s="469" t="s">
        <v>1068</v>
      </c>
      <c r="AS11" s="339" t="s">
        <v>260</v>
      </c>
      <c r="AT11" s="638"/>
      <c r="AU11" s="661"/>
      <c r="AV11" s="638"/>
      <c r="AW11" s="661"/>
      <c r="AX11" s="622"/>
      <c r="AY11" s="593"/>
      <c r="AZ11" s="622"/>
      <c r="BA11" s="593"/>
      <c r="BB11" s="605"/>
      <c r="BC11" s="593"/>
      <c r="BD11" s="605"/>
      <c r="BE11" s="593"/>
      <c r="BF11" s="433">
        <v>86146349372.679993</v>
      </c>
      <c r="BG11" s="339"/>
      <c r="BH11" s="433">
        <v>0</v>
      </c>
      <c r="BI11" s="339"/>
      <c r="BJ11" s="29" t="s">
        <v>824</v>
      </c>
      <c r="BK11" s="683"/>
    </row>
    <row r="12" spans="1:63" ht="25.8" customHeight="1">
      <c r="A12" s="29" t="s">
        <v>255</v>
      </c>
      <c r="B12" s="29" t="s">
        <v>196</v>
      </c>
      <c r="C12" s="334" t="s">
        <v>355</v>
      </c>
      <c r="D12" s="29" t="s">
        <v>206</v>
      </c>
      <c r="E12" s="29" t="s">
        <v>260</v>
      </c>
      <c r="F12" s="335">
        <v>2024130010112</v>
      </c>
      <c r="G12" s="336" t="s">
        <v>271</v>
      </c>
      <c r="H12" s="29" t="s">
        <v>281</v>
      </c>
      <c r="I12" s="29" t="s">
        <v>235</v>
      </c>
      <c r="J12" s="337">
        <v>0.4</v>
      </c>
      <c r="K12" s="338">
        <v>0.25</v>
      </c>
      <c r="L12" s="336" t="s">
        <v>497</v>
      </c>
      <c r="M12" s="206"/>
      <c r="N12" s="336" t="s">
        <v>706</v>
      </c>
      <c r="O12" s="336">
        <v>0.27</v>
      </c>
      <c r="P12" s="340">
        <v>0.73</v>
      </c>
      <c r="Q12" s="428">
        <v>0.35</v>
      </c>
      <c r="R12" s="337">
        <v>0.05</v>
      </c>
      <c r="S12" s="337">
        <v>0</v>
      </c>
      <c r="T12" s="503">
        <v>0.06</v>
      </c>
      <c r="U12" s="504">
        <f t="shared" si="0"/>
        <v>0.45999999999999996</v>
      </c>
      <c r="V12" s="349">
        <f t="shared" si="1"/>
        <v>0.63013698630136983</v>
      </c>
      <c r="W12" s="341">
        <v>45660</v>
      </c>
      <c r="X12" s="341">
        <v>46022</v>
      </c>
      <c r="Y12" s="342">
        <f t="shared" si="2"/>
        <v>362</v>
      </c>
      <c r="Z12" s="206" t="s">
        <v>349</v>
      </c>
      <c r="AA12" s="339" t="s">
        <v>352</v>
      </c>
      <c r="AB12" s="339" t="s">
        <v>356</v>
      </c>
      <c r="AC12" s="350" t="s">
        <v>370</v>
      </c>
      <c r="AD12" s="351" t="s">
        <v>373</v>
      </c>
      <c r="AE12" s="343" t="s">
        <v>351</v>
      </c>
      <c r="AF12" s="339" t="s">
        <v>593</v>
      </c>
      <c r="AG12" s="344">
        <v>10000000</v>
      </c>
      <c r="AH12" s="206" t="s">
        <v>55</v>
      </c>
      <c r="AI12" s="206" t="s">
        <v>49</v>
      </c>
      <c r="AJ12" s="206"/>
      <c r="AK12" s="206"/>
      <c r="AL12" s="345" t="s">
        <v>831</v>
      </c>
      <c r="AM12" s="596"/>
      <c r="AN12" s="596"/>
      <c r="AO12" s="596"/>
      <c r="AP12" s="605"/>
      <c r="AQ12" s="433">
        <v>1345627676</v>
      </c>
      <c r="AR12" s="470" t="s">
        <v>1058</v>
      </c>
      <c r="AS12" s="339" t="s">
        <v>260</v>
      </c>
      <c r="AT12" s="638"/>
      <c r="AU12" s="661"/>
      <c r="AV12" s="638"/>
      <c r="AW12" s="661"/>
      <c r="AX12" s="622"/>
      <c r="AY12" s="593"/>
      <c r="AZ12" s="622"/>
      <c r="BA12" s="593"/>
      <c r="BB12" s="605"/>
      <c r="BC12" s="593"/>
      <c r="BD12" s="605"/>
      <c r="BE12" s="593"/>
      <c r="BF12" s="433">
        <v>1345627676</v>
      </c>
      <c r="BG12" s="339"/>
      <c r="BH12" s="433">
        <v>1345627676</v>
      </c>
      <c r="BI12" s="339"/>
      <c r="BJ12" s="339" t="s">
        <v>912</v>
      </c>
      <c r="BK12" s="502" t="s">
        <v>1052</v>
      </c>
    </row>
    <row r="13" spans="1:63" ht="25.8" customHeight="1">
      <c r="A13" s="29" t="s">
        <v>255</v>
      </c>
      <c r="B13" s="29" t="s">
        <v>196</v>
      </c>
      <c r="C13" s="334" t="s">
        <v>355</v>
      </c>
      <c r="D13" s="29" t="s">
        <v>207</v>
      </c>
      <c r="E13" s="29" t="s">
        <v>260</v>
      </c>
      <c r="F13" s="335">
        <v>2024130010112</v>
      </c>
      <c r="G13" s="336" t="s">
        <v>271</v>
      </c>
      <c r="H13" s="29" t="s">
        <v>281</v>
      </c>
      <c r="I13" s="350" t="s">
        <v>236</v>
      </c>
      <c r="J13" s="337">
        <v>1</v>
      </c>
      <c r="K13" s="338">
        <v>0.25</v>
      </c>
      <c r="L13" s="336" t="s">
        <v>496</v>
      </c>
      <c r="M13" s="206"/>
      <c r="N13" s="339" t="s">
        <v>634</v>
      </c>
      <c r="O13" s="339">
        <v>2</v>
      </c>
      <c r="P13" s="340">
        <v>4</v>
      </c>
      <c r="Q13" s="428">
        <v>1</v>
      </c>
      <c r="R13" s="337">
        <v>0</v>
      </c>
      <c r="S13" s="337">
        <v>2</v>
      </c>
      <c r="T13" s="435">
        <v>0</v>
      </c>
      <c r="U13" s="172">
        <f t="shared" si="0"/>
        <v>3</v>
      </c>
      <c r="V13" s="349">
        <f t="shared" si="1"/>
        <v>0.75</v>
      </c>
      <c r="W13" s="341">
        <v>45660</v>
      </c>
      <c r="X13" s="341">
        <v>46022</v>
      </c>
      <c r="Y13" s="342">
        <f t="shared" si="2"/>
        <v>362</v>
      </c>
      <c r="Z13" s="206" t="s">
        <v>349</v>
      </c>
      <c r="AA13" s="339" t="s">
        <v>352</v>
      </c>
      <c r="AB13" s="339" t="s">
        <v>356</v>
      </c>
      <c r="AC13" s="350" t="s">
        <v>370</v>
      </c>
      <c r="AD13" s="351" t="s">
        <v>373</v>
      </c>
      <c r="AE13" s="343" t="s">
        <v>351</v>
      </c>
      <c r="AF13" s="339" t="s">
        <v>707</v>
      </c>
      <c r="AG13" s="344">
        <v>100000000</v>
      </c>
      <c r="AH13" s="206" t="s">
        <v>50</v>
      </c>
      <c r="AI13" s="206" t="s">
        <v>49</v>
      </c>
      <c r="AJ13" s="206"/>
      <c r="AK13" s="206"/>
      <c r="AL13" s="345"/>
      <c r="AM13" s="596"/>
      <c r="AN13" s="596"/>
      <c r="AO13" s="596"/>
      <c r="AP13" s="605"/>
      <c r="AQ13" s="433">
        <v>772051823.34000003</v>
      </c>
      <c r="AR13" s="470" t="s">
        <v>1069</v>
      </c>
      <c r="AS13" s="339" t="s">
        <v>260</v>
      </c>
      <c r="AT13" s="638"/>
      <c r="AU13" s="661"/>
      <c r="AV13" s="638"/>
      <c r="AW13" s="661"/>
      <c r="AX13" s="622"/>
      <c r="AY13" s="593"/>
      <c r="AZ13" s="622"/>
      <c r="BA13" s="593"/>
      <c r="BB13" s="605"/>
      <c r="BC13" s="593"/>
      <c r="BD13" s="605"/>
      <c r="BE13" s="593"/>
      <c r="BF13" s="433">
        <v>753451823.34000003</v>
      </c>
      <c r="BG13" s="339"/>
      <c r="BH13" s="433">
        <v>739483699.23000002</v>
      </c>
      <c r="BI13" s="339"/>
      <c r="BJ13" s="352" t="s">
        <v>913</v>
      </c>
      <c r="BK13" s="463" t="s">
        <v>1030</v>
      </c>
    </row>
    <row r="14" spans="1:63" ht="25.8" customHeight="1">
      <c r="A14" s="29" t="s">
        <v>256</v>
      </c>
      <c r="B14" s="29" t="s">
        <v>196</v>
      </c>
      <c r="C14" s="334" t="s">
        <v>355</v>
      </c>
      <c r="D14" s="29" t="s">
        <v>208</v>
      </c>
      <c r="E14" s="29" t="s">
        <v>260</v>
      </c>
      <c r="F14" s="335">
        <v>2024130010112</v>
      </c>
      <c r="G14" s="336" t="s">
        <v>271</v>
      </c>
      <c r="H14" s="29" t="s">
        <v>284</v>
      </c>
      <c r="I14" s="353" t="s">
        <v>410</v>
      </c>
      <c r="J14" s="337">
        <v>200</v>
      </c>
      <c r="K14" s="338">
        <v>0.25</v>
      </c>
      <c r="L14" s="336" t="s">
        <v>489</v>
      </c>
      <c r="M14" s="206"/>
      <c r="N14" s="339" t="s">
        <v>782</v>
      </c>
      <c r="O14" s="339">
        <v>1</v>
      </c>
      <c r="P14" s="340">
        <v>0</v>
      </c>
      <c r="Q14" s="428">
        <v>0</v>
      </c>
      <c r="R14" s="337">
        <v>0</v>
      </c>
      <c r="S14" s="337">
        <v>0</v>
      </c>
      <c r="T14" s="435">
        <v>0</v>
      </c>
      <c r="U14" s="172">
        <f t="shared" si="0"/>
        <v>0</v>
      </c>
      <c r="V14" s="349"/>
      <c r="W14" s="341">
        <v>45660</v>
      </c>
      <c r="X14" s="341">
        <v>46022</v>
      </c>
      <c r="Y14" s="342">
        <f t="shared" si="2"/>
        <v>362</v>
      </c>
      <c r="Z14" s="206" t="s">
        <v>349</v>
      </c>
      <c r="AA14" s="339" t="s">
        <v>352</v>
      </c>
      <c r="AB14" s="339" t="s">
        <v>356</v>
      </c>
      <c r="AC14" s="339" t="s">
        <v>375</v>
      </c>
      <c r="AD14" s="339" t="s">
        <v>376</v>
      </c>
      <c r="AE14" s="343" t="s">
        <v>351</v>
      </c>
      <c r="AF14" s="339" t="s">
        <v>593</v>
      </c>
      <c r="AG14" s="344">
        <v>200000000</v>
      </c>
      <c r="AH14" s="206" t="s">
        <v>55</v>
      </c>
      <c r="AI14" s="206" t="s">
        <v>49</v>
      </c>
      <c r="AJ14" s="206"/>
      <c r="AK14" s="206"/>
      <c r="AL14" s="345" t="s">
        <v>832</v>
      </c>
      <c r="AM14" s="596"/>
      <c r="AN14" s="596"/>
      <c r="AO14" s="596"/>
      <c r="AP14" s="605"/>
      <c r="AQ14" s="433">
        <v>11372559827</v>
      </c>
      <c r="AR14" s="470" t="s">
        <v>1059</v>
      </c>
      <c r="AS14" s="339" t="s">
        <v>260</v>
      </c>
      <c r="AT14" s="638"/>
      <c r="AU14" s="661"/>
      <c r="AV14" s="638"/>
      <c r="AW14" s="661"/>
      <c r="AX14" s="622"/>
      <c r="AY14" s="593"/>
      <c r="AZ14" s="622"/>
      <c r="BA14" s="593"/>
      <c r="BB14" s="605"/>
      <c r="BC14" s="593"/>
      <c r="BD14" s="605"/>
      <c r="BE14" s="593"/>
      <c r="BF14" s="433">
        <v>11143929589.75</v>
      </c>
      <c r="BG14" s="339"/>
      <c r="BH14" s="433">
        <v>11133029589.75</v>
      </c>
      <c r="BI14" s="339"/>
      <c r="BJ14" s="29" t="s">
        <v>911</v>
      </c>
      <c r="BK14" s="683" t="s">
        <v>1031</v>
      </c>
    </row>
    <row r="15" spans="1:63" ht="25.8" customHeight="1">
      <c r="A15" s="354" t="s">
        <v>256</v>
      </c>
      <c r="B15" s="29" t="s">
        <v>196</v>
      </c>
      <c r="C15" s="334" t="s">
        <v>355</v>
      </c>
      <c r="D15" s="29" t="s">
        <v>208</v>
      </c>
      <c r="E15" s="354" t="s">
        <v>260</v>
      </c>
      <c r="F15" s="335">
        <v>2024130010112</v>
      </c>
      <c r="G15" s="336" t="s">
        <v>271</v>
      </c>
      <c r="H15" s="29" t="s">
        <v>284</v>
      </c>
      <c r="I15" s="353" t="s">
        <v>410</v>
      </c>
      <c r="J15" s="337">
        <v>200</v>
      </c>
      <c r="K15" s="338">
        <v>0.25</v>
      </c>
      <c r="L15" s="339" t="s">
        <v>307</v>
      </c>
      <c r="M15" s="206"/>
      <c r="N15" s="339" t="s">
        <v>1026</v>
      </c>
      <c r="O15" s="206">
        <v>368</v>
      </c>
      <c r="P15" s="340">
        <v>300</v>
      </c>
      <c r="Q15" s="428"/>
      <c r="R15" s="337">
        <v>0</v>
      </c>
      <c r="S15" s="337">
        <v>0</v>
      </c>
      <c r="T15" s="435">
        <v>0</v>
      </c>
      <c r="U15" s="172">
        <f t="shared" si="0"/>
        <v>0</v>
      </c>
      <c r="V15" s="349">
        <f t="shared" si="1"/>
        <v>0</v>
      </c>
      <c r="W15" s="341">
        <v>45660</v>
      </c>
      <c r="X15" s="341">
        <v>46022</v>
      </c>
      <c r="Y15" s="342">
        <f t="shared" si="2"/>
        <v>362</v>
      </c>
      <c r="Z15" s="206" t="s">
        <v>349</v>
      </c>
      <c r="AA15" s="339" t="s">
        <v>352</v>
      </c>
      <c r="AB15" s="339" t="s">
        <v>356</v>
      </c>
      <c r="AC15" s="339" t="s">
        <v>375</v>
      </c>
      <c r="AD15" s="339" t="s">
        <v>376</v>
      </c>
      <c r="AE15" s="343" t="s">
        <v>351</v>
      </c>
      <c r="AF15" s="339" t="s">
        <v>593</v>
      </c>
      <c r="AG15" s="344">
        <v>100000000</v>
      </c>
      <c r="AH15" s="206" t="s">
        <v>55</v>
      </c>
      <c r="AI15" s="206" t="s">
        <v>49</v>
      </c>
      <c r="AJ15" s="206"/>
      <c r="AK15" s="206"/>
      <c r="AL15" s="345" t="s">
        <v>833</v>
      </c>
      <c r="AM15" s="596"/>
      <c r="AN15" s="596"/>
      <c r="AO15" s="596"/>
      <c r="AP15" s="605"/>
      <c r="AQ15" s="433">
        <v>146724533</v>
      </c>
      <c r="AR15" s="470" t="s">
        <v>1070</v>
      </c>
      <c r="AS15" s="339" t="s">
        <v>260</v>
      </c>
      <c r="AT15" s="638"/>
      <c r="AU15" s="661"/>
      <c r="AV15" s="638"/>
      <c r="AW15" s="661"/>
      <c r="AX15" s="622"/>
      <c r="AY15" s="593"/>
      <c r="AZ15" s="622"/>
      <c r="BA15" s="593"/>
      <c r="BB15" s="605"/>
      <c r="BC15" s="593"/>
      <c r="BD15" s="605"/>
      <c r="BE15" s="593"/>
      <c r="BF15" s="433">
        <v>146724533</v>
      </c>
      <c r="BG15" s="339"/>
      <c r="BH15" s="433">
        <v>146724533</v>
      </c>
      <c r="BI15" s="339"/>
      <c r="BJ15" s="29" t="s">
        <v>911</v>
      </c>
      <c r="BK15" s="683"/>
    </row>
    <row r="16" spans="1:63" ht="25.8" customHeight="1">
      <c r="A16" s="354" t="s">
        <v>256</v>
      </c>
      <c r="B16" s="29" t="s">
        <v>196</v>
      </c>
      <c r="C16" s="334" t="s">
        <v>355</v>
      </c>
      <c r="D16" s="29" t="s">
        <v>208</v>
      </c>
      <c r="E16" s="354" t="s">
        <v>260</v>
      </c>
      <c r="F16" s="335">
        <v>2024130010112</v>
      </c>
      <c r="G16" s="336" t="s">
        <v>271</v>
      </c>
      <c r="H16" s="29" t="s">
        <v>284</v>
      </c>
      <c r="I16" s="350" t="s">
        <v>410</v>
      </c>
      <c r="J16" s="337">
        <v>200</v>
      </c>
      <c r="K16" s="338">
        <v>0.25</v>
      </c>
      <c r="L16" s="339" t="s">
        <v>490</v>
      </c>
      <c r="M16" s="206"/>
      <c r="N16" s="339" t="s">
        <v>1025</v>
      </c>
      <c r="O16" s="206">
        <v>400</v>
      </c>
      <c r="P16" s="340">
        <v>3</v>
      </c>
      <c r="Q16" s="428">
        <v>0</v>
      </c>
      <c r="R16" s="337">
        <v>0</v>
      </c>
      <c r="S16" s="337">
        <v>0</v>
      </c>
      <c r="T16" s="435">
        <v>0</v>
      </c>
      <c r="U16" s="172">
        <f t="shared" si="0"/>
        <v>0</v>
      </c>
      <c r="V16" s="349">
        <f t="shared" si="1"/>
        <v>0</v>
      </c>
      <c r="W16" s="341">
        <v>45660</v>
      </c>
      <c r="X16" s="341">
        <v>46022</v>
      </c>
      <c r="Y16" s="342">
        <f t="shared" si="2"/>
        <v>362</v>
      </c>
      <c r="Z16" s="206" t="s">
        <v>349</v>
      </c>
      <c r="AA16" s="339" t="s">
        <v>352</v>
      </c>
      <c r="AB16" s="339" t="s">
        <v>356</v>
      </c>
      <c r="AC16" s="339" t="s">
        <v>375</v>
      </c>
      <c r="AD16" s="339" t="s">
        <v>376</v>
      </c>
      <c r="AE16" s="343" t="s">
        <v>351</v>
      </c>
      <c r="AF16" s="339" t="s">
        <v>593</v>
      </c>
      <c r="AG16" s="344">
        <v>150000000</v>
      </c>
      <c r="AH16" s="206" t="s">
        <v>55</v>
      </c>
      <c r="AI16" s="206" t="s">
        <v>49</v>
      </c>
      <c r="AJ16" s="206"/>
      <c r="AK16" s="206"/>
      <c r="AL16" s="345" t="s">
        <v>834</v>
      </c>
      <c r="AM16" s="596"/>
      <c r="AN16" s="596"/>
      <c r="AO16" s="596"/>
      <c r="AP16" s="605"/>
      <c r="AQ16" s="433">
        <v>106179608</v>
      </c>
      <c r="AR16" s="470" t="s">
        <v>1071</v>
      </c>
      <c r="AS16" s="339" t="s">
        <v>260</v>
      </c>
      <c r="AT16" s="638"/>
      <c r="AU16" s="661"/>
      <c r="AV16" s="638"/>
      <c r="AW16" s="661"/>
      <c r="AX16" s="622"/>
      <c r="AY16" s="593"/>
      <c r="AZ16" s="622"/>
      <c r="BA16" s="593"/>
      <c r="BB16" s="605"/>
      <c r="BC16" s="593"/>
      <c r="BD16" s="605"/>
      <c r="BE16" s="593"/>
      <c r="BF16" s="433">
        <v>106179608</v>
      </c>
      <c r="BG16" s="339"/>
      <c r="BH16" s="433">
        <v>0</v>
      </c>
      <c r="BI16" s="339"/>
      <c r="BJ16" s="29" t="s">
        <v>911</v>
      </c>
      <c r="BK16" s="683"/>
    </row>
    <row r="17" spans="1:63" ht="25.8" customHeight="1">
      <c r="A17" s="354" t="s">
        <v>256</v>
      </c>
      <c r="B17" s="29" t="s">
        <v>196</v>
      </c>
      <c r="C17" s="334" t="s">
        <v>355</v>
      </c>
      <c r="D17" s="29" t="s">
        <v>208</v>
      </c>
      <c r="E17" s="354" t="s">
        <v>260</v>
      </c>
      <c r="F17" s="335">
        <v>2024130010112</v>
      </c>
      <c r="G17" s="336" t="s">
        <v>271</v>
      </c>
      <c r="H17" s="29" t="s">
        <v>284</v>
      </c>
      <c r="I17" s="350" t="s">
        <v>410</v>
      </c>
      <c r="J17" s="337">
        <v>200</v>
      </c>
      <c r="K17" s="338">
        <v>0.25</v>
      </c>
      <c r="L17" s="339" t="s">
        <v>491</v>
      </c>
      <c r="M17" s="206"/>
      <c r="N17" s="339" t="s">
        <v>785</v>
      </c>
      <c r="O17" s="206">
        <v>368</v>
      </c>
      <c r="P17" s="340">
        <v>300</v>
      </c>
      <c r="Q17" s="396">
        <v>83</v>
      </c>
      <c r="R17" s="337">
        <v>117</v>
      </c>
      <c r="S17" s="337">
        <v>42</v>
      </c>
      <c r="T17" s="435">
        <v>57</v>
      </c>
      <c r="U17" s="172">
        <f t="shared" si="0"/>
        <v>299</v>
      </c>
      <c r="V17" s="349">
        <f t="shared" si="1"/>
        <v>0.9966666666666667</v>
      </c>
      <c r="W17" s="341">
        <v>45660</v>
      </c>
      <c r="X17" s="341">
        <v>46022</v>
      </c>
      <c r="Y17" s="342">
        <f t="shared" si="2"/>
        <v>362</v>
      </c>
      <c r="Z17" s="206" t="s">
        <v>349</v>
      </c>
      <c r="AA17" s="339" t="s">
        <v>352</v>
      </c>
      <c r="AB17" s="339" t="s">
        <v>356</v>
      </c>
      <c r="AC17" s="339" t="s">
        <v>375</v>
      </c>
      <c r="AD17" s="339" t="s">
        <v>376</v>
      </c>
      <c r="AE17" s="343" t="s">
        <v>351</v>
      </c>
      <c r="AF17" s="339" t="s">
        <v>593</v>
      </c>
      <c r="AG17" s="344">
        <v>1150000000</v>
      </c>
      <c r="AH17" s="206" t="s">
        <v>55</v>
      </c>
      <c r="AI17" s="206" t="s">
        <v>49</v>
      </c>
      <c r="AJ17" s="206"/>
      <c r="AK17" s="206"/>
      <c r="AL17" s="345" t="s">
        <v>835</v>
      </c>
      <c r="AM17" s="596"/>
      <c r="AN17" s="596"/>
      <c r="AO17" s="596"/>
      <c r="AP17" s="605"/>
      <c r="AQ17" s="433">
        <v>1717618924</v>
      </c>
      <c r="AR17" s="470" t="s">
        <v>1072</v>
      </c>
      <c r="AS17" s="339" t="s">
        <v>260</v>
      </c>
      <c r="AT17" s="638"/>
      <c r="AU17" s="661"/>
      <c r="AV17" s="638"/>
      <c r="AW17" s="661"/>
      <c r="AX17" s="622"/>
      <c r="AY17" s="593"/>
      <c r="AZ17" s="622"/>
      <c r="BA17" s="593"/>
      <c r="BB17" s="605"/>
      <c r="BC17" s="593"/>
      <c r="BD17" s="605"/>
      <c r="BE17" s="593"/>
      <c r="BF17" s="433">
        <v>1717618924</v>
      </c>
      <c r="BG17" s="339"/>
      <c r="BH17" s="433">
        <v>1717618924</v>
      </c>
      <c r="BI17" s="339"/>
      <c r="BJ17" s="29" t="s">
        <v>911</v>
      </c>
      <c r="BK17" s="683"/>
    </row>
    <row r="18" spans="1:63" ht="25.8" customHeight="1">
      <c r="A18" s="354" t="s">
        <v>256</v>
      </c>
      <c r="B18" s="29" t="s">
        <v>196</v>
      </c>
      <c r="C18" s="334" t="s">
        <v>355</v>
      </c>
      <c r="D18" s="29" t="s">
        <v>208</v>
      </c>
      <c r="E18" s="354" t="s">
        <v>260</v>
      </c>
      <c r="F18" s="335">
        <v>2024130010112</v>
      </c>
      <c r="G18" s="336" t="s">
        <v>271</v>
      </c>
      <c r="H18" s="29" t="s">
        <v>284</v>
      </c>
      <c r="I18" s="350" t="s">
        <v>410</v>
      </c>
      <c r="J18" s="337">
        <v>200</v>
      </c>
      <c r="K18" s="338">
        <v>0.25</v>
      </c>
      <c r="L18" s="339" t="s">
        <v>491</v>
      </c>
      <c r="M18" s="206"/>
      <c r="N18" s="339" t="s">
        <v>786</v>
      </c>
      <c r="O18" s="206">
        <v>368</v>
      </c>
      <c r="P18" s="340">
        <v>300</v>
      </c>
      <c r="Q18" s="396">
        <v>83</v>
      </c>
      <c r="R18" s="337">
        <v>117</v>
      </c>
      <c r="S18" s="337">
        <v>42</v>
      </c>
      <c r="T18" s="435">
        <v>57</v>
      </c>
      <c r="U18" s="172">
        <f t="shared" si="0"/>
        <v>299</v>
      </c>
      <c r="V18" s="349">
        <f t="shared" si="1"/>
        <v>0.9966666666666667</v>
      </c>
      <c r="W18" s="341">
        <v>45660</v>
      </c>
      <c r="X18" s="341">
        <v>46022</v>
      </c>
      <c r="Y18" s="342">
        <f t="shared" si="2"/>
        <v>362</v>
      </c>
      <c r="Z18" s="206" t="s">
        <v>349</v>
      </c>
      <c r="AA18" s="339" t="s">
        <v>352</v>
      </c>
      <c r="AB18" s="339" t="s">
        <v>356</v>
      </c>
      <c r="AC18" s="339" t="s">
        <v>375</v>
      </c>
      <c r="AD18" s="339" t="s">
        <v>376</v>
      </c>
      <c r="AE18" s="343" t="s">
        <v>351</v>
      </c>
      <c r="AF18" s="339" t="s">
        <v>709</v>
      </c>
      <c r="AG18" s="344">
        <v>220000000</v>
      </c>
      <c r="AH18" s="206" t="s">
        <v>52</v>
      </c>
      <c r="AI18" s="206" t="s">
        <v>49</v>
      </c>
      <c r="AJ18" s="206"/>
      <c r="AK18" s="206"/>
      <c r="AL18" s="345" t="s">
        <v>836</v>
      </c>
      <c r="AM18" s="596"/>
      <c r="AN18" s="596"/>
      <c r="AO18" s="596"/>
      <c r="AP18" s="605"/>
      <c r="AQ18" s="433">
        <v>1763322105.8900001</v>
      </c>
      <c r="AR18" s="470" t="s">
        <v>1073</v>
      </c>
      <c r="AS18" s="339" t="s">
        <v>260</v>
      </c>
      <c r="AT18" s="638"/>
      <c r="AU18" s="661"/>
      <c r="AV18" s="638"/>
      <c r="AW18" s="661"/>
      <c r="AX18" s="622"/>
      <c r="AY18" s="593"/>
      <c r="AZ18" s="622"/>
      <c r="BA18" s="593"/>
      <c r="BB18" s="605"/>
      <c r="BC18" s="593"/>
      <c r="BD18" s="605"/>
      <c r="BE18" s="593"/>
      <c r="BF18" s="433">
        <v>1763322105</v>
      </c>
      <c r="BG18" s="339"/>
      <c r="BH18" s="433">
        <v>1763322105</v>
      </c>
      <c r="BI18" s="339"/>
      <c r="BJ18" s="29" t="s">
        <v>911</v>
      </c>
      <c r="BK18" s="683"/>
    </row>
    <row r="19" spans="1:63" ht="25.8" customHeight="1">
      <c r="A19" s="354" t="s">
        <v>256</v>
      </c>
      <c r="B19" s="29" t="s">
        <v>196</v>
      </c>
      <c r="C19" s="334" t="s">
        <v>355</v>
      </c>
      <c r="D19" s="29" t="s">
        <v>208</v>
      </c>
      <c r="E19" s="354" t="s">
        <v>260</v>
      </c>
      <c r="F19" s="335">
        <v>2024130010112</v>
      </c>
      <c r="G19" s="336" t="s">
        <v>271</v>
      </c>
      <c r="H19" s="29" t="s">
        <v>284</v>
      </c>
      <c r="I19" s="350" t="s">
        <v>410</v>
      </c>
      <c r="J19" s="337">
        <v>200</v>
      </c>
      <c r="K19" s="338">
        <v>0.25</v>
      </c>
      <c r="L19" s="339" t="s">
        <v>491</v>
      </c>
      <c r="M19" s="206"/>
      <c r="N19" s="339" t="s">
        <v>787</v>
      </c>
      <c r="O19" s="206">
        <v>368</v>
      </c>
      <c r="P19" s="340">
        <v>300</v>
      </c>
      <c r="Q19" s="396">
        <v>83</v>
      </c>
      <c r="R19" s="337">
        <v>117</v>
      </c>
      <c r="S19" s="337">
        <v>42</v>
      </c>
      <c r="T19" s="435">
        <v>57</v>
      </c>
      <c r="U19" s="172">
        <f t="shared" si="0"/>
        <v>299</v>
      </c>
      <c r="V19" s="349">
        <f t="shared" si="1"/>
        <v>0.9966666666666667</v>
      </c>
      <c r="W19" s="341">
        <v>45660</v>
      </c>
      <c r="X19" s="341">
        <v>46022</v>
      </c>
      <c r="Y19" s="342">
        <f t="shared" si="2"/>
        <v>362</v>
      </c>
      <c r="Z19" s="206" t="s">
        <v>349</v>
      </c>
      <c r="AA19" s="339" t="s">
        <v>352</v>
      </c>
      <c r="AB19" s="339" t="s">
        <v>356</v>
      </c>
      <c r="AC19" s="339" t="s">
        <v>375</v>
      </c>
      <c r="AD19" s="339" t="s">
        <v>376</v>
      </c>
      <c r="AE19" s="343" t="s">
        <v>351</v>
      </c>
      <c r="AF19" s="339" t="s">
        <v>710</v>
      </c>
      <c r="AG19" s="344">
        <v>3000000000</v>
      </c>
      <c r="AH19" s="339" t="s">
        <v>499</v>
      </c>
      <c r="AI19" s="206" t="s">
        <v>49</v>
      </c>
      <c r="AJ19" s="206"/>
      <c r="AK19" s="206"/>
      <c r="AL19" s="206"/>
      <c r="AM19" s="596"/>
      <c r="AN19" s="596"/>
      <c r="AO19" s="596"/>
      <c r="AP19" s="605"/>
      <c r="AQ19" s="433">
        <v>747007146.76999998</v>
      </c>
      <c r="AR19" s="470" t="s">
        <v>1074</v>
      </c>
      <c r="AS19" s="339" t="s">
        <v>260</v>
      </c>
      <c r="AT19" s="638"/>
      <c r="AU19" s="661"/>
      <c r="AV19" s="638"/>
      <c r="AW19" s="661"/>
      <c r="AX19" s="622"/>
      <c r="AY19" s="593"/>
      <c r="AZ19" s="622"/>
      <c r="BA19" s="593"/>
      <c r="BB19" s="605"/>
      <c r="BC19" s="593"/>
      <c r="BD19" s="605"/>
      <c r="BE19" s="593"/>
      <c r="BF19" s="433">
        <v>747007146.76999998</v>
      </c>
      <c r="BG19" s="339"/>
      <c r="BH19" s="433">
        <v>737207146.76999998</v>
      </c>
      <c r="BI19" s="339"/>
      <c r="BJ19" s="29" t="s">
        <v>911</v>
      </c>
      <c r="BK19" s="683"/>
    </row>
    <row r="20" spans="1:63" ht="25.8" customHeight="1">
      <c r="A20" s="354" t="s">
        <v>256</v>
      </c>
      <c r="B20" s="29" t="s">
        <v>196</v>
      </c>
      <c r="C20" s="334" t="s">
        <v>355</v>
      </c>
      <c r="D20" s="29" t="s">
        <v>208</v>
      </c>
      <c r="E20" s="354" t="s">
        <v>260</v>
      </c>
      <c r="F20" s="335">
        <v>2024130010112</v>
      </c>
      <c r="G20" s="336" t="s">
        <v>271</v>
      </c>
      <c r="H20" s="29" t="s">
        <v>284</v>
      </c>
      <c r="I20" s="350" t="s">
        <v>410</v>
      </c>
      <c r="J20" s="337">
        <v>200</v>
      </c>
      <c r="K20" s="338">
        <v>0.25</v>
      </c>
      <c r="L20" s="339" t="s">
        <v>491</v>
      </c>
      <c r="M20" s="206"/>
      <c r="N20" s="339" t="s">
        <v>786</v>
      </c>
      <c r="O20" s="206">
        <v>368</v>
      </c>
      <c r="P20" s="340">
        <v>300</v>
      </c>
      <c r="Q20" s="396">
        <v>83</v>
      </c>
      <c r="R20" s="337">
        <v>117</v>
      </c>
      <c r="S20" s="337">
        <v>42</v>
      </c>
      <c r="T20" s="435">
        <v>57</v>
      </c>
      <c r="U20" s="172">
        <f t="shared" si="0"/>
        <v>299</v>
      </c>
      <c r="V20" s="349">
        <f t="shared" si="1"/>
        <v>0.9966666666666667</v>
      </c>
      <c r="W20" s="341">
        <v>45660</v>
      </c>
      <c r="X20" s="341">
        <v>46022</v>
      </c>
      <c r="Y20" s="342">
        <f t="shared" si="2"/>
        <v>362</v>
      </c>
      <c r="Z20" s="206" t="s">
        <v>349</v>
      </c>
      <c r="AA20" s="339" t="s">
        <v>352</v>
      </c>
      <c r="AB20" s="339" t="s">
        <v>356</v>
      </c>
      <c r="AC20" s="339" t="s">
        <v>375</v>
      </c>
      <c r="AD20" s="339" t="s">
        <v>376</v>
      </c>
      <c r="AE20" s="343" t="s">
        <v>351</v>
      </c>
      <c r="AF20" s="339" t="s">
        <v>711</v>
      </c>
      <c r="AG20" s="344">
        <v>2000000000</v>
      </c>
      <c r="AH20" s="206" t="s">
        <v>50</v>
      </c>
      <c r="AI20" s="206" t="s">
        <v>49</v>
      </c>
      <c r="AJ20" s="206"/>
      <c r="AK20" s="206"/>
      <c r="AL20" s="345" t="s">
        <v>837</v>
      </c>
      <c r="AM20" s="596"/>
      <c r="AN20" s="596"/>
      <c r="AO20" s="596"/>
      <c r="AP20" s="605"/>
      <c r="AQ20" s="433">
        <v>7863325354</v>
      </c>
      <c r="AR20" s="470" t="s">
        <v>1075</v>
      </c>
      <c r="AS20" s="339" t="s">
        <v>260</v>
      </c>
      <c r="AT20" s="638"/>
      <c r="AU20" s="661"/>
      <c r="AV20" s="638"/>
      <c r="AW20" s="661"/>
      <c r="AX20" s="622"/>
      <c r="AY20" s="593"/>
      <c r="AZ20" s="622"/>
      <c r="BA20" s="593"/>
      <c r="BB20" s="605"/>
      <c r="BC20" s="593"/>
      <c r="BD20" s="605"/>
      <c r="BE20" s="593"/>
      <c r="BF20" s="433">
        <v>7862212671.2299995</v>
      </c>
      <c r="BG20" s="339"/>
      <c r="BH20" s="433">
        <v>3512902376.23</v>
      </c>
      <c r="BI20" s="339"/>
      <c r="BJ20" s="29" t="s">
        <v>911</v>
      </c>
      <c r="BK20" s="683"/>
    </row>
    <row r="21" spans="1:63" ht="25.8" customHeight="1">
      <c r="A21" s="354" t="s">
        <v>256</v>
      </c>
      <c r="B21" s="29" t="s">
        <v>196</v>
      </c>
      <c r="C21" s="334" t="s">
        <v>355</v>
      </c>
      <c r="D21" s="29" t="s">
        <v>208</v>
      </c>
      <c r="E21" s="354" t="s">
        <v>260</v>
      </c>
      <c r="F21" s="335">
        <v>2024130010112</v>
      </c>
      <c r="G21" s="336" t="s">
        <v>271</v>
      </c>
      <c r="H21" s="29" t="s">
        <v>284</v>
      </c>
      <c r="I21" s="350" t="s">
        <v>410</v>
      </c>
      <c r="J21" s="337">
        <v>200</v>
      </c>
      <c r="K21" s="338">
        <v>0.25</v>
      </c>
      <c r="L21" s="339" t="s">
        <v>493</v>
      </c>
      <c r="M21" s="206"/>
      <c r="N21" s="339" t="s">
        <v>635</v>
      </c>
      <c r="O21" s="206">
        <v>368</v>
      </c>
      <c r="P21" s="340">
        <v>300</v>
      </c>
      <c r="Q21" s="396">
        <v>83</v>
      </c>
      <c r="R21" s="337">
        <v>117</v>
      </c>
      <c r="S21" s="337">
        <v>42</v>
      </c>
      <c r="T21" s="435">
        <v>57</v>
      </c>
      <c r="U21" s="172">
        <f t="shared" si="0"/>
        <v>299</v>
      </c>
      <c r="V21" s="349">
        <f t="shared" si="1"/>
        <v>0.9966666666666667</v>
      </c>
      <c r="W21" s="341">
        <v>45660</v>
      </c>
      <c r="X21" s="341">
        <v>46022</v>
      </c>
      <c r="Y21" s="342">
        <f t="shared" si="2"/>
        <v>362</v>
      </c>
      <c r="Z21" s="206" t="s">
        <v>349</v>
      </c>
      <c r="AA21" s="339" t="s">
        <v>352</v>
      </c>
      <c r="AB21" s="339" t="s">
        <v>356</v>
      </c>
      <c r="AC21" s="339" t="s">
        <v>375</v>
      </c>
      <c r="AD21" s="339" t="s">
        <v>376</v>
      </c>
      <c r="AE21" s="343" t="s">
        <v>351</v>
      </c>
      <c r="AF21" s="339" t="s">
        <v>593</v>
      </c>
      <c r="AG21" s="344">
        <v>400000000</v>
      </c>
      <c r="AH21" s="206" t="s">
        <v>55</v>
      </c>
      <c r="AI21" s="206" t="s">
        <v>49</v>
      </c>
      <c r="AJ21" s="206"/>
      <c r="AK21" s="206"/>
      <c r="AL21" s="345" t="s">
        <v>838</v>
      </c>
      <c r="AM21" s="596"/>
      <c r="AN21" s="596"/>
      <c r="AO21" s="596"/>
      <c r="AP21" s="605"/>
      <c r="AQ21" s="433">
        <v>24232000</v>
      </c>
      <c r="AR21" s="470" t="s">
        <v>1076</v>
      </c>
      <c r="AS21" s="339" t="s">
        <v>260</v>
      </c>
      <c r="AT21" s="638"/>
      <c r="AU21" s="661"/>
      <c r="AV21" s="638"/>
      <c r="AW21" s="661"/>
      <c r="AX21" s="622"/>
      <c r="AY21" s="593"/>
      <c r="AZ21" s="622"/>
      <c r="BA21" s="593"/>
      <c r="BB21" s="605"/>
      <c r="BC21" s="593"/>
      <c r="BD21" s="605"/>
      <c r="BE21" s="593"/>
      <c r="BF21" s="433">
        <v>0</v>
      </c>
      <c r="BG21" s="339"/>
      <c r="BH21" s="433">
        <v>0</v>
      </c>
      <c r="BI21" s="339"/>
      <c r="BJ21" s="29" t="s">
        <v>911</v>
      </c>
      <c r="BK21" s="683"/>
    </row>
    <row r="22" spans="1:63" ht="25.8" customHeight="1">
      <c r="A22" s="354" t="s">
        <v>256</v>
      </c>
      <c r="B22" s="29" t="s">
        <v>196</v>
      </c>
      <c r="C22" s="334" t="s">
        <v>355</v>
      </c>
      <c r="D22" s="29" t="s">
        <v>208</v>
      </c>
      <c r="E22" s="354" t="s">
        <v>260</v>
      </c>
      <c r="F22" s="335">
        <v>2024130010112</v>
      </c>
      <c r="G22" s="336" t="s">
        <v>271</v>
      </c>
      <c r="H22" s="29" t="s">
        <v>284</v>
      </c>
      <c r="I22" s="350" t="s">
        <v>410</v>
      </c>
      <c r="J22" s="337">
        <v>200</v>
      </c>
      <c r="K22" s="338">
        <v>0.25</v>
      </c>
      <c r="L22" s="339" t="s">
        <v>492</v>
      </c>
      <c r="M22" s="206"/>
      <c r="N22" s="339" t="s">
        <v>635</v>
      </c>
      <c r="O22" s="206">
        <v>368</v>
      </c>
      <c r="P22" s="340">
        <v>300</v>
      </c>
      <c r="Q22" s="396">
        <v>83</v>
      </c>
      <c r="R22" s="337">
        <v>117</v>
      </c>
      <c r="S22" s="337">
        <v>42</v>
      </c>
      <c r="T22" s="435">
        <v>57</v>
      </c>
      <c r="U22" s="172">
        <f t="shared" si="0"/>
        <v>299</v>
      </c>
      <c r="V22" s="349">
        <f t="shared" si="1"/>
        <v>0.9966666666666667</v>
      </c>
      <c r="W22" s="341">
        <v>45660</v>
      </c>
      <c r="X22" s="341">
        <v>46022</v>
      </c>
      <c r="Y22" s="342">
        <f t="shared" si="2"/>
        <v>362</v>
      </c>
      <c r="Z22" s="206" t="s">
        <v>349</v>
      </c>
      <c r="AA22" s="339" t="s">
        <v>352</v>
      </c>
      <c r="AB22" s="339" t="s">
        <v>356</v>
      </c>
      <c r="AC22" s="339" t="s">
        <v>375</v>
      </c>
      <c r="AD22" s="339" t="s">
        <v>376</v>
      </c>
      <c r="AE22" s="343" t="s">
        <v>351</v>
      </c>
      <c r="AF22" s="339" t="s">
        <v>593</v>
      </c>
      <c r="AG22" s="344">
        <v>1300000000</v>
      </c>
      <c r="AH22" s="206" t="s">
        <v>55</v>
      </c>
      <c r="AI22" s="206" t="s">
        <v>49</v>
      </c>
      <c r="AJ22" s="206"/>
      <c r="AK22" s="206"/>
      <c r="AL22" s="345" t="s">
        <v>839</v>
      </c>
      <c r="AM22" s="596"/>
      <c r="AN22" s="596"/>
      <c r="AO22" s="596"/>
      <c r="AP22" s="605"/>
      <c r="AQ22" s="433">
        <v>8887201458.6800003</v>
      </c>
      <c r="AR22" s="470" t="s">
        <v>1077</v>
      </c>
      <c r="AS22" s="339" t="s">
        <v>260</v>
      </c>
      <c r="AT22" s="638"/>
      <c r="AU22" s="661"/>
      <c r="AV22" s="638"/>
      <c r="AW22" s="661"/>
      <c r="AX22" s="622"/>
      <c r="AY22" s="593"/>
      <c r="AZ22" s="622"/>
      <c r="BA22" s="593"/>
      <c r="BB22" s="605"/>
      <c r="BC22" s="593"/>
      <c r="BD22" s="605"/>
      <c r="BE22" s="593"/>
      <c r="BF22" s="433">
        <v>8887069935.7000008</v>
      </c>
      <c r="BG22" s="339"/>
      <c r="BH22" s="433">
        <v>8856019933.7000008</v>
      </c>
      <c r="BI22" s="339"/>
      <c r="BJ22" s="29" t="s">
        <v>911</v>
      </c>
      <c r="BK22" s="683"/>
    </row>
    <row r="23" spans="1:63" ht="25.8" customHeight="1">
      <c r="A23" s="354" t="s">
        <v>256</v>
      </c>
      <c r="B23" s="29" t="s">
        <v>196</v>
      </c>
      <c r="C23" s="334" t="s">
        <v>355</v>
      </c>
      <c r="D23" s="29" t="s">
        <v>208</v>
      </c>
      <c r="E23" s="354" t="s">
        <v>260</v>
      </c>
      <c r="F23" s="335">
        <v>2024130010112</v>
      </c>
      <c r="G23" s="336" t="s">
        <v>271</v>
      </c>
      <c r="H23" s="29" t="s">
        <v>284</v>
      </c>
      <c r="I23" s="350" t="s">
        <v>410</v>
      </c>
      <c r="J23" s="337">
        <v>200</v>
      </c>
      <c r="K23" s="338">
        <v>0.25</v>
      </c>
      <c r="L23" s="339" t="s">
        <v>492</v>
      </c>
      <c r="M23" s="206"/>
      <c r="N23" s="339" t="s">
        <v>635</v>
      </c>
      <c r="O23" s="206">
        <v>368</v>
      </c>
      <c r="P23" s="340">
        <v>300</v>
      </c>
      <c r="Q23" s="396">
        <v>83</v>
      </c>
      <c r="R23" s="337">
        <v>117</v>
      </c>
      <c r="S23" s="337">
        <v>42</v>
      </c>
      <c r="T23" s="435">
        <v>57</v>
      </c>
      <c r="U23" s="172">
        <f t="shared" si="0"/>
        <v>299</v>
      </c>
      <c r="V23" s="349">
        <f t="shared" si="1"/>
        <v>0.9966666666666667</v>
      </c>
      <c r="W23" s="341">
        <v>45660</v>
      </c>
      <c r="X23" s="341">
        <v>46022</v>
      </c>
      <c r="Y23" s="342">
        <f t="shared" si="2"/>
        <v>362</v>
      </c>
      <c r="Z23" s="206" t="s">
        <v>349</v>
      </c>
      <c r="AA23" s="339" t="s">
        <v>352</v>
      </c>
      <c r="AB23" s="339" t="s">
        <v>356</v>
      </c>
      <c r="AC23" s="339" t="s">
        <v>375</v>
      </c>
      <c r="AD23" s="339" t="s">
        <v>376</v>
      </c>
      <c r="AE23" s="343" t="s">
        <v>351</v>
      </c>
      <c r="AF23" s="339" t="s">
        <v>594</v>
      </c>
      <c r="AG23" s="344">
        <v>200000000</v>
      </c>
      <c r="AH23" s="206" t="s">
        <v>56</v>
      </c>
      <c r="AI23" s="206" t="s">
        <v>49</v>
      </c>
      <c r="AJ23" s="206"/>
      <c r="AK23" s="206"/>
      <c r="AL23" s="206"/>
      <c r="AM23" s="596"/>
      <c r="AN23" s="596"/>
      <c r="AO23" s="596"/>
      <c r="AP23" s="605"/>
      <c r="AQ23" s="433">
        <v>964543580.66999996</v>
      </c>
      <c r="AR23" s="470" t="s">
        <v>1078</v>
      </c>
      <c r="AS23" s="339" t="s">
        <v>260</v>
      </c>
      <c r="AT23" s="638"/>
      <c r="AU23" s="661"/>
      <c r="AV23" s="638"/>
      <c r="AW23" s="661"/>
      <c r="AX23" s="622"/>
      <c r="AY23" s="593"/>
      <c r="AZ23" s="622"/>
      <c r="BA23" s="593"/>
      <c r="BB23" s="605"/>
      <c r="BC23" s="593"/>
      <c r="BD23" s="605"/>
      <c r="BE23" s="593"/>
      <c r="BF23" s="433">
        <v>960431436.55999994</v>
      </c>
      <c r="BG23" s="339"/>
      <c r="BH23" s="433">
        <v>891573583.66999996</v>
      </c>
      <c r="BI23" s="339"/>
      <c r="BJ23" s="29" t="s">
        <v>911</v>
      </c>
      <c r="BK23" s="683"/>
    </row>
    <row r="24" spans="1:63" ht="25.8" customHeight="1">
      <c r="A24" s="354" t="s">
        <v>256</v>
      </c>
      <c r="B24" s="29" t="s">
        <v>196</v>
      </c>
      <c r="C24" s="334" t="s">
        <v>355</v>
      </c>
      <c r="D24" s="29" t="s">
        <v>208</v>
      </c>
      <c r="E24" s="354" t="s">
        <v>260</v>
      </c>
      <c r="F24" s="335">
        <v>2024130010112</v>
      </c>
      <c r="G24" s="336" t="s">
        <v>271</v>
      </c>
      <c r="H24" s="29" t="s">
        <v>284</v>
      </c>
      <c r="I24" s="350" t="s">
        <v>410</v>
      </c>
      <c r="J24" s="337">
        <v>200</v>
      </c>
      <c r="K24" s="338">
        <v>0.25</v>
      </c>
      <c r="L24" s="339" t="s">
        <v>492</v>
      </c>
      <c r="M24" s="206"/>
      <c r="N24" s="339" t="s">
        <v>635</v>
      </c>
      <c r="O24" s="206">
        <v>368</v>
      </c>
      <c r="P24" s="340">
        <v>300</v>
      </c>
      <c r="Q24" s="396">
        <v>83</v>
      </c>
      <c r="R24" s="337">
        <v>117</v>
      </c>
      <c r="S24" s="337">
        <v>42</v>
      </c>
      <c r="T24" s="435">
        <v>57</v>
      </c>
      <c r="U24" s="172">
        <f t="shared" si="0"/>
        <v>299</v>
      </c>
      <c r="V24" s="349">
        <f t="shared" si="1"/>
        <v>0.9966666666666667</v>
      </c>
      <c r="W24" s="341">
        <v>45660</v>
      </c>
      <c r="X24" s="341">
        <v>46022</v>
      </c>
      <c r="Y24" s="342">
        <f t="shared" si="2"/>
        <v>362</v>
      </c>
      <c r="Z24" s="206" t="s">
        <v>349</v>
      </c>
      <c r="AA24" s="339" t="s">
        <v>352</v>
      </c>
      <c r="AB24" s="339" t="s">
        <v>356</v>
      </c>
      <c r="AC24" s="339" t="s">
        <v>375</v>
      </c>
      <c r="AD24" s="339" t="s">
        <v>376</v>
      </c>
      <c r="AE24" s="343" t="s">
        <v>351</v>
      </c>
      <c r="AF24" s="339" t="s">
        <v>712</v>
      </c>
      <c r="AG24" s="344">
        <v>50000000</v>
      </c>
      <c r="AH24" s="206" t="s">
        <v>56</v>
      </c>
      <c r="AI24" s="206" t="s">
        <v>49</v>
      </c>
      <c r="AJ24" s="206"/>
      <c r="AK24" s="206"/>
      <c r="AL24" s="206"/>
      <c r="AM24" s="596"/>
      <c r="AN24" s="596"/>
      <c r="AO24" s="596"/>
      <c r="AP24" s="605"/>
      <c r="AQ24" s="433">
        <v>5136674646</v>
      </c>
      <c r="AR24" s="470" t="s">
        <v>1079</v>
      </c>
      <c r="AS24" s="339" t="s">
        <v>260</v>
      </c>
      <c r="AT24" s="638"/>
      <c r="AU24" s="661"/>
      <c r="AV24" s="638"/>
      <c r="AW24" s="661"/>
      <c r="AX24" s="622"/>
      <c r="AY24" s="593"/>
      <c r="AZ24" s="622"/>
      <c r="BA24" s="593"/>
      <c r="BB24" s="605"/>
      <c r="BC24" s="593"/>
      <c r="BD24" s="605"/>
      <c r="BE24" s="593"/>
      <c r="BF24" s="433">
        <v>4820480319.8000002</v>
      </c>
      <c r="BG24" s="339"/>
      <c r="BH24" s="433">
        <v>294618211.04000002</v>
      </c>
      <c r="BI24" s="339"/>
      <c r="BJ24" s="29" t="s">
        <v>911</v>
      </c>
      <c r="BK24" s="683"/>
    </row>
    <row r="25" spans="1:63" ht="25.8" customHeight="1">
      <c r="A25" s="354" t="s">
        <v>256</v>
      </c>
      <c r="B25" s="29" t="s">
        <v>196</v>
      </c>
      <c r="C25" s="334" t="s">
        <v>355</v>
      </c>
      <c r="D25" s="29" t="s">
        <v>208</v>
      </c>
      <c r="E25" s="354" t="s">
        <v>260</v>
      </c>
      <c r="F25" s="335">
        <v>2024130010112</v>
      </c>
      <c r="G25" s="336" t="s">
        <v>271</v>
      </c>
      <c r="H25" s="29" t="s">
        <v>284</v>
      </c>
      <c r="I25" s="350" t="s">
        <v>410</v>
      </c>
      <c r="J25" s="337">
        <v>200</v>
      </c>
      <c r="K25" s="338">
        <v>0.25</v>
      </c>
      <c r="L25" s="339" t="s">
        <v>492</v>
      </c>
      <c r="M25" s="206"/>
      <c r="N25" s="339" t="s">
        <v>635</v>
      </c>
      <c r="O25" s="339">
        <v>368</v>
      </c>
      <c r="P25" s="340">
        <v>300</v>
      </c>
      <c r="Q25" s="396">
        <v>83</v>
      </c>
      <c r="R25" s="337">
        <v>117</v>
      </c>
      <c r="S25" s="337">
        <v>42</v>
      </c>
      <c r="T25" s="435">
        <v>57</v>
      </c>
      <c r="U25" s="172">
        <f t="shared" si="0"/>
        <v>299</v>
      </c>
      <c r="V25" s="349">
        <f t="shared" si="1"/>
        <v>0.9966666666666667</v>
      </c>
      <c r="W25" s="341">
        <v>45660</v>
      </c>
      <c r="X25" s="341">
        <v>46022</v>
      </c>
      <c r="Y25" s="342">
        <f t="shared" si="2"/>
        <v>362</v>
      </c>
      <c r="Z25" s="206" t="s">
        <v>349</v>
      </c>
      <c r="AA25" s="339" t="s">
        <v>352</v>
      </c>
      <c r="AB25" s="339" t="s">
        <v>356</v>
      </c>
      <c r="AC25" s="339" t="s">
        <v>375</v>
      </c>
      <c r="AD25" s="339" t="s">
        <v>376</v>
      </c>
      <c r="AE25" s="343" t="s">
        <v>351</v>
      </c>
      <c r="AF25" s="339" t="s">
        <v>713</v>
      </c>
      <c r="AG25" s="344">
        <v>10000000</v>
      </c>
      <c r="AH25" s="206" t="s">
        <v>56</v>
      </c>
      <c r="AI25" s="206" t="s">
        <v>49</v>
      </c>
      <c r="AJ25" s="206"/>
      <c r="AK25" s="206"/>
      <c r="AL25" s="206"/>
      <c r="AM25" s="596"/>
      <c r="AN25" s="596"/>
      <c r="AO25" s="596"/>
      <c r="AP25" s="605"/>
      <c r="AQ25" s="433">
        <v>658631003.57000005</v>
      </c>
      <c r="AR25" s="470" t="s">
        <v>1060</v>
      </c>
      <c r="AS25" s="339" t="s">
        <v>260</v>
      </c>
      <c r="AT25" s="638"/>
      <c r="AU25" s="661"/>
      <c r="AV25" s="638"/>
      <c r="AW25" s="661"/>
      <c r="AX25" s="622"/>
      <c r="AY25" s="593"/>
      <c r="AZ25" s="622"/>
      <c r="BA25" s="593"/>
      <c r="BB25" s="605"/>
      <c r="BC25" s="593"/>
      <c r="BD25" s="605"/>
      <c r="BE25" s="593"/>
      <c r="BF25" s="433">
        <v>649776272.05999994</v>
      </c>
      <c r="BG25" s="339"/>
      <c r="BH25" s="433">
        <v>645182455.44000006</v>
      </c>
      <c r="BI25" s="339"/>
      <c r="BJ25" s="29" t="s">
        <v>911</v>
      </c>
      <c r="BK25" s="683"/>
    </row>
    <row r="26" spans="1:63" ht="25.8" customHeight="1">
      <c r="A26" s="354" t="s">
        <v>256</v>
      </c>
      <c r="B26" s="29" t="s">
        <v>196</v>
      </c>
      <c r="C26" s="334" t="s">
        <v>355</v>
      </c>
      <c r="D26" s="29" t="s">
        <v>208</v>
      </c>
      <c r="E26" s="354" t="s">
        <v>260</v>
      </c>
      <c r="F26" s="335">
        <v>2024130010112</v>
      </c>
      <c r="G26" s="336" t="s">
        <v>271</v>
      </c>
      <c r="H26" s="29" t="s">
        <v>284</v>
      </c>
      <c r="I26" s="350" t="s">
        <v>410</v>
      </c>
      <c r="J26" s="337">
        <v>200</v>
      </c>
      <c r="K26" s="338">
        <v>0.25</v>
      </c>
      <c r="L26" s="339" t="s">
        <v>492</v>
      </c>
      <c r="M26" s="206"/>
      <c r="N26" s="339" t="s">
        <v>635</v>
      </c>
      <c r="O26" s="206">
        <v>368</v>
      </c>
      <c r="P26" s="340">
        <v>300</v>
      </c>
      <c r="Q26" s="396">
        <v>83</v>
      </c>
      <c r="R26" s="337">
        <v>117</v>
      </c>
      <c r="S26" s="337">
        <v>42</v>
      </c>
      <c r="T26" s="435">
        <v>57</v>
      </c>
      <c r="U26" s="172">
        <f t="shared" si="0"/>
        <v>299</v>
      </c>
      <c r="V26" s="349">
        <f t="shared" si="1"/>
        <v>0.9966666666666667</v>
      </c>
      <c r="W26" s="341">
        <v>45660</v>
      </c>
      <c r="X26" s="341">
        <v>46022</v>
      </c>
      <c r="Y26" s="342">
        <f t="shared" si="2"/>
        <v>362</v>
      </c>
      <c r="Z26" s="206" t="s">
        <v>349</v>
      </c>
      <c r="AA26" s="339" t="s">
        <v>352</v>
      </c>
      <c r="AB26" s="339" t="s">
        <v>356</v>
      </c>
      <c r="AC26" s="339" t="s">
        <v>375</v>
      </c>
      <c r="AD26" s="339" t="s">
        <v>376</v>
      </c>
      <c r="AE26" s="343" t="s">
        <v>351</v>
      </c>
      <c r="AF26" s="339" t="s">
        <v>714</v>
      </c>
      <c r="AG26" s="344">
        <v>55000000</v>
      </c>
      <c r="AH26" s="206" t="s">
        <v>56</v>
      </c>
      <c r="AI26" s="206" t="s">
        <v>49</v>
      </c>
      <c r="AJ26" s="206"/>
      <c r="AK26" s="206"/>
      <c r="AL26" s="206"/>
      <c r="AM26" s="596"/>
      <c r="AN26" s="596"/>
      <c r="AO26" s="596"/>
      <c r="AP26" s="605"/>
      <c r="AQ26" s="433">
        <v>37325368.229999997</v>
      </c>
      <c r="AR26" s="470" t="s">
        <v>1061</v>
      </c>
      <c r="AS26" s="339" t="s">
        <v>260</v>
      </c>
      <c r="AT26" s="638"/>
      <c r="AU26" s="661"/>
      <c r="AV26" s="638"/>
      <c r="AW26" s="661"/>
      <c r="AX26" s="622"/>
      <c r="AY26" s="593"/>
      <c r="AZ26" s="622"/>
      <c r="BA26" s="593"/>
      <c r="BB26" s="605"/>
      <c r="BC26" s="593"/>
      <c r="BD26" s="605"/>
      <c r="BE26" s="593"/>
      <c r="BF26" s="433">
        <v>37325368.229999997</v>
      </c>
      <c r="BG26" s="339"/>
      <c r="BH26" s="433">
        <v>37325368.229999997</v>
      </c>
      <c r="BI26" s="339"/>
      <c r="BJ26" s="29" t="s">
        <v>911</v>
      </c>
      <c r="BK26" s="683"/>
    </row>
    <row r="27" spans="1:63" ht="25.8" customHeight="1">
      <c r="A27" s="354" t="s">
        <v>256</v>
      </c>
      <c r="B27" s="29" t="s">
        <v>196</v>
      </c>
      <c r="C27" s="334" t="s">
        <v>355</v>
      </c>
      <c r="D27" s="29" t="s">
        <v>208</v>
      </c>
      <c r="E27" s="354" t="s">
        <v>260</v>
      </c>
      <c r="F27" s="335">
        <v>2024130010112</v>
      </c>
      <c r="G27" s="336" t="s">
        <v>271</v>
      </c>
      <c r="H27" s="29" t="s">
        <v>284</v>
      </c>
      <c r="I27" s="350" t="s">
        <v>410</v>
      </c>
      <c r="J27" s="337">
        <v>200</v>
      </c>
      <c r="K27" s="338">
        <v>0.25</v>
      </c>
      <c r="L27" s="339" t="s">
        <v>492</v>
      </c>
      <c r="M27" s="206"/>
      <c r="N27" s="339" t="s">
        <v>635</v>
      </c>
      <c r="O27" s="339">
        <v>368</v>
      </c>
      <c r="P27" s="340">
        <v>300</v>
      </c>
      <c r="Q27" s="396">
        <v>83</v>
      </c>
      <c r="R27" s="337">
        <v>117</v>
      </c>
      <c r="S27" s="337">
        <v>42</v>
      </c>
      <c r="T27" s="435">
        <v>57</v>
      </c>
      <c r="U27" s="172">
        <f t="shared" si="0"/>
        <v>299</v>
      </c>
      <c r="V27" s="349">
        <f t="shared" si="1"/>
        <v>0.9966666666666667</v>
      </c>
      <c r="W27" s="341">
        <v>45660</v>
      </c>
      <c r="X27" s="341">
        <v>46022</v>
      </c>
      <c r="Y27" s="342">
        <f t="shared" si="2"/>
        <v>362</v>
      </c>
      <c r="Z27" s="206" t="s">
        <v>349</v>
      </c>
      <c r="AA27" s="339" t="s">
        <v>352</v>
      </c>
      <c r="AB27" s="339" t="s">
        <v>356</v>
      </c>
      <c r="AC27" s="339" t="s">
        <v>375</v>
      </c>
      <c r="AD27" s="339" t="s">
        <v>376</v>
      </c>
      <c r="AE27" s="343" t="s">
        <v>351</v>
      </c>
      <c r="AF27" s="339" t="s">
        <v>715</v>
      </c>
      <c r="AG27" s="344">
        <v>220000000</v>
      </c>
      <c r="AH27" s="206" t="s">
        <v>56</v>
      </c>
      <c r="AI27" s="206" t="s">
        <v>49</v>
      </c>
      <c r="AJ27" s="206"/>
      <c r="AK27" s="206"/>
      <c r="AL27" s="345" t="s">
        <v>840</v>
      </c>
      <c r="AM27" s="596"/>
      <c r="AN27" s="596"/>
      <c r="AO27" s="596"/>
      <c r="AP27" s="605"/>
      <c r="AQ27" s="433">
        <v>988755450</v>
      </c>
      <c r="AR27" s="470" t="s">
        <v>1063</v>
      </c>
      <c r="AS27" s="339" t="s">
        <v>260</v>
      </c>
      <c r="AT27" s="638"/>
      <c r="AU27" s="661"/>
      <c r="AV27" s="638"/>
      <c r="AW27" s="661"/>
      <c r="AX27" s="622"/>
      <c r="AY27" s="593"/>
      <c r="AZ27" s="622"/>
      <c r="BA27" s="593"/>
      <c r="BB27" s="605"/>
      <c r="BC27" s="593"/>
      <c r="BD27" s="605"/>
      <c r="BE27" s="593"/>
      <c r="BF27" s="433">
        <v>960888788</v>
      </c>
      <c r="BG27" s="339"/>
      <c r="BH27" s="433">
        <v>960888788</v>
      </c>
      <c r="BI27" s="339"/>
      <c r="BJ27" s="29" t="s">
        <v>911</v>
      </c>
      <c r="BK27" s="683"/>
    </row>
    <row r="28" spans="1:63" ht="25.8" customHeight="1">
      <c r="A28" s="29" t="s">
        <v>256</v>
      </c>
      <c r="B28" s="29" t="s">
        <v>196</v>
      </c>
      <c r="C28" s="334" t="s">
        <v>355</v>
      </c>
      <c r="D28" s="29" t="s">
        <v>208</v>
      </c>
      <c r="E28" s="29" t="s">
        <v>260</v>
      </c>
      <c r="F28" s="335">
        <v>2024130010112</v>
      </c>
      <c r="G28" s="336" t="s">
        <v>271</v>
      </c>
      <c r="H28" s="29" t="s">
        <v>284</v>
      </c>
      <c r="I28" s="350" t="s">
        <v>410</v>
      </c>
      <c r="J28" s="337">
        <v>200</v>
      </c>
      <c r="K28" s="338">
        <v>0.25</v>
      </c>
      <c r="L28" s="339" t="s">
        <v>492</v>
      </c>
      <c r="M28" s="206"/>
      <c r="N28" s="339" t="s">
        <v>635</v>
      </c>
      <c r="O28" s="339">
        <v>368</v>
      </c>
      <c r="P28" s="340">
        <v>300</v>
      </c>
      <c r="Q28" s="396">
        <v>83</v>
      </c>
      <c r="R28" s="337">
        <v>117</v>
      </c>
      <c r="S28" s="337">
        <v>42</v>
      </c>
      <c r="T28" s="435">
        <v>57</v>
      </c>
      <c r="U28" s="172">
        <f t="shared" si="0"/>
        <v>299</v>
      </c>
      <c r="V28" s="349">
        <f t="shared" si="1"/>
        <v>0.9966666666666667</v>
      </c>
      <c r="W28" s="341">
        <v>45660</v>
      </c>
      <c r="X28" s="341">
        <v>46022</v>
      </c>
      <c r="Y28" s="342">
        <f t="shared" si="2"/>
        <v>362</v>
      </c>
      <c r="Z28" s="206" t="s">
        <v>349</v>
      </c>
      <c r="AA28" s="339" t="s">
        <v>352</v>
      </c>
      <c r="AB28" s="339" t="s">
        <v>356</v>
      </c>
      <c r="AC28" s="339" t="s">
        <v>375</v>
      </c>
      <c r="AD28" s="339" t="s">
        <v>376</v>
      </c>
      <c r="AE28" s="343" t="s">
        <v>351</v>
      </c>
      <c r="AF28" s="339" t="s">
        <v>604</v>
      </c>
      <c r="AG28" s="344">
        <v>280000000</v>
      </c>
      <c r="AH28" s="206" t="s">
        <v>56</v>
      </c>
      <c r="AI28" s="206" t="s">
        <v>49</v>
      </c>
      <c r="AJ28" s="206"/>
      <c r="AK28" s="206"/>
      <c r="AL28" s="206"/>
      <c r="AM28" s="596"/>
      <c r="AN28" s="596"/>
      <c r="AO28" s="596"/>
      <c r="AP28" s="605"/>
      <c r="AQ28" s="433">
        <v>494844004.43000001</v>
      </c>
      <c r="AR28" s="470" t="s">
        <v>1064</v>
      </c>
      <c r="AS28" s="339" t="s">
        <v>260</v>
      </c>
      <c r="AT28" s="638"/>
      <c r="AU28" s="661"/>
      <c r="AV28" s="638"/>
      <c r="AW28" s="661"/>
      <c r="AX28" s="622"/>
      <c r="AY28" s="593"/>
      <c r="AZ28" s="622"/>
      <c r="BA28" s="593"/>
      <c r="BB28" s="605"/>
      <c r="BC28" s="593"/>
      <c r="BD28" s="605"/>
      <c r="BE28" s="593"/>
      <c r="BF28" s="433">
        <v>494844004.43000001</v>
      </c>
      <c r="BG28" s="339"/>
      <c r="BH28" s="433">
        <v>494844004.43000001</v>
      </c>
      <c r="BI28" s="339"/>
      <c r="BJ28" s="29" t="s">
        <v>911</v>
      </c>
      <c r="BK28" s="683"/>
    </row>
    <row r="29" spans="1:63" ht="25.8" customHeight="1">
      <c r="A29" s="354" t="s">
        <v>256</v>
      </c>
      <c r="B29" s="29" t="s">
        <v>196</v>
      </c>
      <c r="C29" s="334" t="s">
        <v>355</v>
      </c>
      <c r="D29" s="29" t="s">
        <v>208</v>
      </c>
      <c r="E29" s="354" t="s">
        <v>260</v>
      </c>
      <c r="F29" s="335">
        <v>2024130010112</v>
      </c>
      <c r="G29" s="336" t="s">
        <v>271</v>
      </c>
      <c r="H29" s="29" t="s">
        <v>284</v>
      </c>
      <c r="I29" s="350" t="s">
        <v>410</v>
      </c>
      <c r="J29" s="337">
        <v>200</v>
      </c>
      <c r="K29" s="338">
        <v>0.25</v>
      </c>
      <c r="L29" s="339" t="s">
        <v>492</v>
      </c>
      <c r="M29" s="206"/>
      <c r="N29" s="339" t="s">
        <v>635</v>
      </c>
      <c r="O29" s="339">
        <v>368</v>
      </c>
      <c r="P29" s="340">
        <v>300</v>
      </c>
      <c r="Q29" s="396">
        <v>83</v>
      </c>
      <c r="R29" s="337">
        <v>117</v>
      </c>
      <c r="S29" s="337">
        <v>42</v>
      </c>
      <c r="T29" s="435">
        <v>57</v>
      </c>
      <c r="U29" s="172">
        <f t="shared" si="0"/>
        <v>299</v>
      </c>
      <c r="V29" s="349">
        <f t="shared" si="1"/>
        <v>0.9966666666666667</v>
      </c>
      <c r="W29" s="341">
        <v>45660</v>
      </c>
      <c r="X29" s="341">
        <v>46022</v>
      </c>
      <c r="Y29" s="342">
        <f t="shared" si="2"/>
        <v>362</v>
      </c>
      <c r="Z29" s="206" t="s">
        <v>349</v>
      </c>
      <c r="AA29" s="339" t="s">
        <v>352</v>
      </c>
      <c r="AB29" s="339" t="s">
        <v>356</v>
      </c>
      <c r="AC29" s="339" t="s">
        <v>375</v>
      </c>
      <c r="AD29" s="339" t="s">
        <v>376</v>
      </c>
      <c r="AE29" s="343" t="s">
        <v>351</v>
      </c>
      <c r="AF29" s="339" t="s">
        <v>716</v>
      </c>
      <c r="AG29" s="344">
        <v>300000000</v>
      </c>
      <c r="AH29" s="206" t="s">
        <v>52</v>
      </c>
      <c r="AI29" s="206" t="s">
        <v>49</v>
      </c>
      <c r="AJ29" s="206"/>
      <c r="AK29" s="206"/>
      <c r="AL29" s="206"/>
      <c r="AM29" s="596"/>
      <c r="AN29" s="596"/>
      <c r="AO29" s="596"/>
      <c r="AP29" s="605"/>
      <c r="AQ29" s="433">
        <v>252670640.94</v>
      </c>
      <c r="AR29" s="470" t="s">
        <v>1080</v>
      </c>
      <c r="AS29" s="339" t="s">
        <v>260</v>
      </c>
      <c r="AT29" s="638"/>
      <c r="AU29" s="661"/>
      <c r="AV29" s="638"/>
      <c r="AW29" s="661"/>
      <c r="AX29" s="622"/>
      <c r="AY29" s="593"/>
      <c r="AZ29" s="622"/>
      <c r="BA29" s="593"/>
      <c r="BB29" s="605"/>
      <c r="BC29" s="593"/>
      <c r="BD29" s="605"/>
      <c r="BE29" s="593"/>
      <c r="BF29" s="433">
        <v>252670640.94</v>
      </c>
      <c r="BG29" s="339"/>
      <c r="BH29" s="433">
        <v>252670640.94</v>
      </c>
      <c r="BI29" s="339"/>
      <c r="BJ29" s="29" t="s">
        <v>911</v>
      </c>
      <c r="BK29" s="683"/>
    </row>
    <row r="30" spans="1:63" ht="25.8" customHeight="1">
      <c r="A30" s="354" t="s">
        <v>256</v>
      </c>
      <c r="B30" s="29" t="s">
        <v>196</v>
      </c>
      <c r="C30" s="334" t="s">
        <v>355</v>
      </c>
      <c r="D30" s="29" t="s">
        <v>208</v>
      </c>
      <c r="E30" s="354" t="s">
        <v>260</v>
      </c>
      <c r="F30" s="335">
        <v>2024130010112</v>
      </c>
      <c r="G30" s="336" t="s">
        <v>271</v>
      </c>
      <c r="H30" s="29" t="s">
        <v>284</v>
      </c>
      <c r="I30" s="350" t="s">
        <v>410</v>
      </c>
      <c r="J30" s="337">
        <v>200</v>
      </c>
      <c r="K30" s="338">
        <v>0.25</v>
      </c>
      <c r="L30" s="339" t="s">
        <v>492</v>
      </c>
      <c r="M30" s="206"/>
      <c r="N30" s="339" t="s">
        <v>635</v>
      </c>
      <c r="O30" s="339">
        <v>368</v>
      </c>
      <c r="P30" s="340">
        <v>300</v>
      </c>
      <c r="Q30" s="396">
        <v>83</v>
      </c>
      <c r="R30" s="337">
        <v>117</v>
      </c>
      <c r="S30" s="337">
        <v>42</v>
      </c>
      <c r="T30" s="435">
        <v>57</v>
      </c>
      <c r="U30" s="172">
        <f t="shared" si="0"/>
        <v>299</v>
      </c>
      <c r="V30" s="349">
        <f t="shared" si="1"/>
        <v>0.9966666666666667</v>
      </c>
      <c r="W30" s="341">
        <v>45660</v>
      </c>
      <c r="X30" s="341">
        <v>46022</v>
      </c>
      <c r="Y30" s="342">
        <f t="shared" si="2"/>
        <v>362</v>
      </c>
      <c r="Z30" s="206" t="s">
        <v>349</v>
      </c>
      <c r="AA30" s="339" t="s">
        <v>352</v>
      </c>
      <c r="AB30" s="339" t="s">
        <v>356</v>
      </c>
      <c r="AC30" s="339" t="s">
        <v>375</v>
      </c>
      <c r="AD30" s="339" t="s">
        <v>376</v>
      </c>
      <c r="AE30" s="343" t="s">
        <v>351</v>
      </c>
      <c r="AF30" s="339" t="s">
        <v>717</v>
      </c>
      <c r="AG30" s="355">
        <v>180000000</v>
      </c>
      <c r="AH30" s="206" t="s">
        <v>52</v>
      </c>
      <c r="AI30" s="206" t="s">
        <v>49</v>
      </c>
      <c r="AJ30" s="206"/>
      <c r="AK30" s="206"/>
      <c r="AL30" s="206"/>
      <c r="AM30" s="596"/>
      <c r="AN30" s="596"/>
      <c r="AO30" s="596"/>
      <c r="AP30" s="605"/>
      <c r="AQ30" s="398">
        <v>240855771.75</v>
      </c>
      <c r="AR30" s="469" t="s">
        <v>1081</v>
      </c>
      <c r="AS30" s="339" t="s">
        <v>260</v>
      </c>
      <c r="AT30" s="638"/>
      <c r="AU30" s="661"/>
      <c r="AV30" s="638"/>
      <c r="AW30" s="661"/>
      <c r="AX30" s="622"/>
      <c r="AY30" s="593"/>
      <c r="AZ30" s="622"/>
      <c r="BA30" s="593"/>
      <c r="BB30" s="605"/>
      <c r="BC30" s="593"/>
      <c r="BD30" s="605"/>
      <c r="BE30" s="593"/>
      <c r="BF30" s="433">
        <v>0</v>
      </c>
      <c r="BG30" s="339"/>
      <c r="BH30" s="433">
        <v>0</v>
      </c>
      <c r="BI30" s="339"/>
      <c r="BJ30" s="29" t="s">
        <v>911</v>
      </c>
      <c r="BK30" s="683"/>
    </row>
    <row r="31" spans="1:63" ht="25.8" customHeight="1">
      <c r="A31" s="354" t="s">
        <v>256</v>
      </c>
      <c r="B31" s="29" t="s">
        <v>196</v>
      </c>
      <c r="C31" s="334" t="s">
        <v>355</v>
      </c>
      <c r="D31" s="29" t="s">
        <v>208</v>
      </c>
      <c r="E31" s="354" t="s">
        <v>260</v>
      </c>
      <c r="F31" s="335">
        <v>2024130010112</v>
      </c>
      <c r="G31" s="336" t="s">
        <v>271</v>
      </c>
      <c r="H31" s="29" t="s">
        <v>284</v>
      </c>
      <c r="I31" s="350" t="s">
        <v>410</v>
      </c>
      <c r="J31" s="337">
        <v>200</v>
      </c>
      <c r="K31" s="338">
        <v>0.25</v>
      </c>
      <c r="L31" s="339" t="s">
        <v>492</v>
      </c>
      <c r="M31" s="206"/>
      <c r="N31" s="339" t="s">
        <v>635</v>
      </c>
      <c r="O31" s="339">
        <v>368</v>
      </c>
      <c r="P31" s="340">
        <v>300</v>
      </c>
      <c r="Q31" s="396">
        <v>83</v>
      </c>
      <c r="R31" s="337">
        <v>117</v>
      </c>
      <c r="S31" s="337">
        <v>42</v>
      </c>
      <c r="T31" s="435">
        <v>57</v>
      </c>
      <c r="U31" s="172">
        <f t="shared" si="0"/>
        <v>299</v>
      </c>
      <c r="V31" s="349">
        <f t="shared" si="1"/>
        <v>0.9966666666666667</v>
      </c>
      <c r="W31" s="341">
        <v>45660</v>
      </c>
      <c r="X31" s="341">
        <v>46022</v>
      </c>
      <c r="Y31" s="342">
        <f t="shared" si="2"/>
        <v>362</v>
      </c>
      <c r="Z31" s="206" t="s">
        <v>349</v>
      </c>
      <c r="AA31" s="339" t="s">
        <v>352</v>
      </c>
      <c r="AB31" s="339" t="s">
        <v>356</v>
      </c>
      <c r="AC31" s="339" t="s">
        <v>375</v>
      </c>
      <c r="AD31" s="339" t="s">
        <v>376</v>
      </c>
      <c r="AE31" s="343" t="s">
        <v>351</v>
      </c>
      <c r="AF31" s="339" t="s">
        <v>718</v>
      </c>
      <c r="AG31" s="355">
        <v>1590000000</v>
      </c>
      <c r="AH31" s="206" t="s">
        <v>50</v>
      </c>
      <c r="AI31" s="339" t="s">
        <v>679</v>
      </c>
      <c r="AJ31" s="206"/>
      <c r="AK31" s="206"/>
      <c r="AL31" s="206"/>
      <c r="AM31" s="596"/>
      <c r="AN31" s="596"/>
      <c r="AO31" s="596"/>
      <c r="AP31" s="605"/>
      <c r="AQ31" s="398">
        <v>462392429.22000003</v>
      </c>
      <c r="AR31" s="469" t="s">
        <v>1082</v>
      </c>
      <c r="AS31" s="339" t="s">
        <v>260</v>
      </c>
      <c r="AT31" s="638"/>
      <c r="AU31" s="661"/>
      <c r="AV31" s="638"/>
      <c r="AW31" s="661"/>
      <c r="AX31" s="622"/>
      <c r="AY31" s="593"/>
      <c r="AZ31" s="622"/>
      <c r="BA31" s="593"/>
      <c r="BB31" s="605"/>
      <c r="BC31" s="593"/>
      <c r="BD31" s="605"/>
      <c r="BE31" s="593"/>
      <c r="BF31" s="433">
        <v>461645676.12</v>
      </c>
      <c r="BG31" s="339"/>
      <c r="BH31" s="433">
        <v>461645676.12</v>
      </c>
      <c r="BI31" s="339"/>
      <c r="BJ31" s="29" t="s">
        <v>911</v>
      </c>
      <c r="BK31" s="683"/>
    </row>
    <row r="32" spans="1:63" ht="25.8" customHeight="1">
      <c r="A32" s="354" t="s">
        <v>256</v>
      </c>
      <c r="B32" s="29" t="s">
        <v>196</v>
      </c>
      <c r="C32" s="334" t="s">
        <v>355</v>
      </c>
      <c r="D32" s="29" t="s">
        <v>208</v>
      </c>
      <c r="E32" s="354" t="s">
        <v>260</v>
      </c>
      <c r="F32" s="335">
        <v>2024130010112</v>
      </c>
      <c r="G32" s="336" t="s">
        <v>271</v>
      </c>
      <c r="H32" s="29" t="s">
        <v>284</v>
      </c>
      <c r="I32" s="350" t="s">
        <v>410</v>
      </c>
      <c r="J32" s="337">
        <v>200</v>
      </c>
      <c r="K32" s="338">
        <v>0.25</v>
      </c>
      <c r="L32" s="339" t="s">
        <v>492</v>
      </c>
      <c r="M32" s="206"/>
      <c r="N32" s="339" t="s">
        <v>635</v>
      </c>
      <c r="O32" s="206">
        <v>368</v>
      </c>
      <c r="P32" s="340">
        <v>300</v>
      </c>
      <c r="Q32" s="396">
        <v>83</v>
      </c>
      <c r="R32" s="337">
        <v>117</v>
      </c>
      <c r="S32" s="337">
        <v>42</v>
      </c>
      <c r="T32" s="435">
        <v>57</v>
      </c>
      <c r="U32" s="172">
        <f t="shared" si="0"/>
        <v>299</v>
      </c>
      <c r="V32" s="349">
        <f t="shared" si="1"/>
        <v>0.9966666666666667</v>
      </c>
      <c r="W32" s="341">
        <v>45660</v>
      </c>
      <c r="X32" s="341">
        <v>46022</v>
      </c>
      <c r="Y32" s="342">
        <f t="shared" si="2"/>
        <v>362</v>
      </c>
      <c r="Z32" s="206" t="s">
        <v>349</v>
      </c>
      <c r="AA32" s="339" t="s">
        <v>352</v>
      </c>
      <c r="AB32" s="339" t="s">
        <v>356</v>
      </c>
      <c r="AC32" s="339" t="s">
        <v>375</v>
      </c>
      <c r="AD32" s="339" t="s">
        <v>376</v>
      </c>
      <c r="AE32" s="343" t="s">
        <v>351</v>
      </c>
      <c r="AF32" s="339" t="s">
        <v>719</v>
      </c>
      <c r="AG32" s="355">
        <v>340000000</v>
      </c>
      <c r="AH32" s="206" t="s">
        <v>52</v>
      </c>
      <c r="AI32" s="206" t="s">
        <v>49</v>
      </c>
      <c r="AJ32" s="206"/>
      <c r="AK32" s="206"/>
      <c r="AL32" s="206"/>
      <c r="AM32" s="596"/>
      <c r="AN32" s="596"/>
      <c r="AO32" s="596"/>
      <c r="AP32" s="605"/>
      <c r="AQ32" s="398"/>
      <c r="AR32" s="469"/>
      <c r="AS32" s="339" t="s">
        <v>260</v>
      </c>
      <c r="AT32" s="638"/>
      <c r="AU32" s="661"/>
      <c r="AV32" s="638"/>
      <c r="AW32" s="661"/>
      <c r="AX32" s="622"/>
      <c r="AY32" s="593"/>
      <c r="AZ32" s="622"/>
      <c r="BA32" s="593"/>
      <c r="BB32" s="605"/>
      <c r="BC32" s="593"/>
      <c r="BD32" s="605"/>
      <c r="BE32" s="593"/>
      <c r="BF32" s="339"/>
      <c r="BG32" s="339"/>
      <c r="BH32" s="339"/>
      <c r="BI32" s="339"/>
      <c r="BJ32" s="29" t="s">
        <v>911</v>
      </c>
      <c r="BK32" s="683"/>
    </row>
    <row r="33" spans="1:63" ht="25.8" customHeight="1">
      <c r="A33" s="354" t="s">
        <v>256</v>
      </c>
      <c r="B33" s="29" t="s">
        <v>196</v>
      </c>
      <c r="C33" s="334" t="s">
        <v>355</v>
      </c>
      <c r="D33" s="29" t="s">
        <v>208</v>
      </c>
      <c r="E33" s="354" t="s">
        <v>260</v>
      </c>
      <c r="F33" s="335">
        <v>2024130010112</v>
      </c>
      <c r="G33" s="336" t="s">
        <v>271</v>
      </c>
      <c r="H33" s="29" t="s">
        <v>284</v>
      </c>
      <c r="I33" s="350" t="s">
        <v>410</v>
      </c>
      <c r="J33" s="337">
        <v>200</v>
      </c>
      <c r="K33" s="338">
        <v>0.25</v>
      </c>
      <c r="L33" s="339" t="s">
        <v>492</v>
      </c>
      <c r="M33" s="206"/>
      <c r="N33" s="339" t="s">
        <v>635</v>
      </c>
      <c r="O33" s="206">
        <v>368</v>
      </c>
      <c r="P33" s="340">
        <v>300</v>
      </c>
      <c r="Q33" s="396">
        <v>83</v>
      </c>
      <c r="R33" s="337">
        <v>117</v>
      </c>
      <c r="S33" s="337">
        <v>42</v>
      </c>
      <c r="T33" s="435">
        <v>57</v>
      </c>
      <c r="U33" s="172">
        <f t="shared" si="0"/>
        <v>299</v>
      </c>
      <c r="V33" s="349">
        <f t="shared" si="1"/>
        <v>0.9966666666666667</v>
      </c>
      <c r="W33" s="341">
        <v>45660</v>
      </c>
      <c r="X33" s="341">
        <v>46022</v>
      </c>
      <c r="Y33" s="342">
        <f t="shared" si="2"/>
        <v>362</v>
      </c>
      <c r="Z33" s="206" t="s">
        <v>349</v>
      </c>
      <c r="AA33" s="339" t="s">
        <v>352</v>
      </c>
      <c r="AB33" s="339" t="s">
        <v>356</v>
      </c>
      <c r="AC33" s="339" t="s">
        <v>375</v>
      </c>
      <c r="AD33" s="339" t="s">
        <v>376</v>
      </c>
      <c r="AE33" s="343" t="s">
        <v>351</v>
      </c>
      <c r="AF33" s="339" t="s">
        <v>595</v>
      </c>
      <c r="AG33" s="355">
        <v>150000000</v>
      </c>
      <c r="AH33" s="206" t="s">
        <v>52</v>
      </c>
      <c r="AI33" s="206" t="s">
        <v>49</v>
      </c>
      <c r="AJ33" s="206"/>
      <c r="AK33" s="206"/>
      <c r="AL33" s="206"/>
      <c r="AM33" s="596"/>
      <c r="AN33" s="596"/>
      <c r="AO33" s="596"/>
      <c r="AP33" s="605"/>
      <c r="AQ33" s="398"/>
      <c r="AR33" s="469"/>
      <c r="AS33" s="339" t="s">
        <v>260</v>
      </c>
      <c r="AT33" s="638"/>
      <c r="AU33" s="661"/>
      <c r="AV33" s="638"/>
      <c r="AW33" s="661"/>
      <c r="AX33" s="622"/>
      <c r="AY33" s="593"/>
      <c r="AZ33" s="622"/>
      <c r="BA33" s="593"/>
      <c r="BB33" s="605"/>
      <c r="BC33" s="593"/>
      <c r="BD33" s="605"/>
      <c r="BE33" s="593"/>
      <c r="BF33" s="339"/>
      <c r="BG33" s="339"/>
      <c r="BH33" s="339"/>
      <c r="BI33" s="339"/>
      <c r="BJ33" s="29" t="s">
        <v>911</v>
      </c>
      <c r="BK33" s="683"/>
    </row>
    <row r="34" spans="1:63" ht="25.8" customHeight="1">
      <c r="A34" s="29" t="s">
        <v>256</v>
      </c>
      <c r="B34" s="29" t="s">
        <v>196</v>
      </c>
      <c r="C34" s="334" t="s">
        <v>355</v>
      </c>
      <c r="D34" s="29" t="s">
        <v>208</v>
      </c>
      <c r="E34" s="29" t="s">
        <v>260</v>
      </c>
      <c r="F34" s="335">
        <v>2024130010112</v>
      </c>
      <c r="G34" s="336" t="s">
        <v>271</v>
      </c>
      <c r="H34" s="29" t="s">
        <v>284</v>
      </c>
      <c r="I34" s="350" t="s">
        <v>410</v>
      </c>
      <c r="J34" s="337">
        <v>200</v>
      </c>
      <c r="K34" s="338">
        <v>0.25</v>
      </c>
      <c r="L34" s="339" t="s">
        <v>492</v>
      </c>
      <c r="M34" s="206"/>
      <c r="N34" s="339" t="s">
        <v>635</v>
      </c>
      <c r="O34" s="206">
        <v>368</v>
      </c>
      <c r="P34" s="340">
        <v>300</v>
      </c>
      <c r="Q34" s="396">
        <v>83</v>
      </c>
      <c r="R34" s="337">
        <v>117</v>
      </c>
      <c r="S34" s="337">
        <v>42</v>
      </c>
      <c r="T34" s="435">
        <v>57</v>
      </c>
      <c r="U34" s="172">
        <f t="shared" si="0"/>
        <v>299</v>
      </c>
      <c r="V34" s="349">
        <f t="shared" si="1"/>
        <v>0.9966666666666667</v>
      </c>
      <c r="W34" s="341">
        <v>45660</v>
      </c>
      <c r="X34" s="341">
        <v>46022</v>
      </c>
      <c r="Y34" s="342">
        <f t="shared" si="2"/>
        <v>362</v>
      </c>
      <c r="Z34" s="206" t="s">
        <v>349</v>
      </c>
      <c r="AA34" s="339" t="s">
        <v>352</v>
      </c>
      <c r="AB34" s="339" t="s">
        <v>356</v>
      </c>
      <c r="AC34" s="339" t="s">
        <v>375</v>
      </c>
      <c r="AD34" s="339" t="s">
        <v>376</v>
      </c>
      <c r="AE34" s="343" t="s">
        <v>351</v>
      </c>
      <c r="AF34" s="339" t="s">
        <v>720</v>
      </c>
      <c r="AG34" s="344">
        <v>564279515</v>
      </c>
      <c r="AH34" s="206" t="s">
        <v>50</v>
      </c>
      <c r="AI34" s="206" t="s">
        <v>49</v>
      </c>
      <c r="AJ34" s="206"/>
      <c r="AK34" s="206"/>
      <c r="AL34" s="206"/>
      <c r="AM34" s="596"/>
      <c r="AN34" s="596"/>
      <c r="AO34" s="596"/>
      <c r="AP34" s="605"/>
      <c r="AQ34" s="398"/>
      <c r="AR34" s="469"/>
      <c r="AS34" s="339" t="s">
        <v>260</v>
      </c>
      <c r="AT34" s="638"/>
      <c r="AU34" s="661"/>
      <c r="AV34" s="638"/>
      <c r="AW34" s="661"/>
      <c r="AX34" s="622"/>
      <c r="AY34" s="593"/>
      <c r="AZ34" s="622"/>
      <c r="BA34" s="593"/>
      <c r="BB34" s="605"/>
      <c r="BC34" s="593"/>
      <c r="BD34" s="605"/>
      <c r="BE34" s="593"/>
      <c r="BF34" s="339"/>
      <c r="BG34" s="339"/>
      <c r="BH34" s="339"/>
      <c r="BI34" s="339"/>
      <c r="BJ34" s="29" t="s">
        <v>911</v>
      </c>
      <c r="BK34" s="683"/>
    </row>
    <row r="35" spans="1:63" ht="25.8" customHeight="1">
      <c r="A35" s="29" t="s">
        <v>256</v>
      </c>
      <c r="B35" s="29" t="s">
        <v>196</v>
      </c>
      <c r="C35" s="334" t="s">
        <v>355</v>
      </c>
      <c r="D35" s="29" t="s">
        <v>208</v>
      </c>
      <c r="E35" s="29" t="s">
        <v>260</v>
      </c>
      <c r="F35" s="335">
        <v>2024130010112</v>
      </c>
      <c r="G35" s="336" t="s">
        <v>271</v>
      </c>
      <c r="H35" s="29" t="s">
        <v>284</v>
      </c>
      <c r="I35" s="350" t="s">
        <v>410</v>
      </c>
      <c r="J35" s="337">
        <v>200</v>
      </c>
      <c r="K35" s="338">
        <v>0.25</v>
      </c>
      <c r="L35" s="339" t="s">
        <v>492</v>
      </c>
      <c r="M35" s="206"/>
      <c r="N35" s="339" t="s">
        <v>635</v>
      </c>
      <c r="O35" s="206">
        <v>368</v>
      </c>
      <c r="P35" s="340">
        <v>300</v>
      </c>
      <c r="Q35" s="396">
        <v>83</v>
      </c>
      <c r="R35" s="337">
        <v>117</v>
      </c>
      <c r="S35" s="337">
        <v>42</v>
      </c>
      <c r="T35" s="435">
        <v>57</v>
      </c>
      <c r="U35" s="172">
        <f t="shared" si="0"/>
        <v>299</v>
      </c>
      <c r="V35" s="349">
        <f t="shared" si="1"/>
        <v>0.9966666666666667</v>
      </c>
      <c r="W35" s="341">
        <v>45660</v>
      </c>
      <c r="X35" s="341">
        <v>46022</v>
      </c>
      <c r="Y35" s="342">
        <f t="shared" si="2"/>
        <v>362</v>
      </c>
      <c r="Z35" s="206" t="s">
        <v>349</v>
      </c>
      <c r="AA35" s="339" t="s">
        <v>352</v>
      </c>
      <c r="AB35" s="339" t="s">
        <v>356</v>
      </c>
      <c r="AC35" s="339" t="s">
        <v>375</v>
      </c>
      <c r="AD35" s="339" t="s">
        <v>376</v>
      </c>
      <c r="AE35" s="343" t="s">
        <v>351</v>
      </c>
      <c r="AF35" s="339" t="s">
        <v>721</v>
      </c>
      <c r="AG35" s="344">
        <v>120000000</v>
      </c>
      <c r="AH35" s="206" t="s">
        <v>52</v>
      </c>
      <c r="AI35" s="206" t="s">
        <v>49</v>
      </c>
      <c r="AJ35" s="206"/>
      <c r="AK35" s="206"/>
      <c r="AL35" s="206"/>
      <c r="AM35" s="596"/>
      <c r="AN35" s="596"/>
      <c r="AO35" s="596"/>
      <c r="AP35" s="605"/>
      <c r="AQ35" s="398"/>
      <c r="AR35" s="469"/>
      <c r="AS35" s="339" t="s">
        <v>260</v>
      </c>
      <c r="AT35" s="638"/>
      <c r="AU35" s="661"/>
      <c r="AV35" s="638"/>
      <c r="AW35" s="661"/>
      <c r="AX35" s="622"/>
      <c r="AY35" s="593"/>
      <c r="AZ35" s="622"/>
      <c r="BA35" s="593"/>
      <c r="BB35" s="605"/>
      <c r="BC35" s="593"/>
      <c r="BD35" s="605"/>
      <c r="BE35" s="593"/>
      <c r="BF35" s="339"/>
      <c r="BG35" s="339"/>
      <c r="BH35" s="339"/>
      <c r="BI35" s="339"/>
      <c r="BJ35" s="29" t="s">
        <v>911</v>
      </c>
      <c r="BK35" s="683"/>
    </row>
    <row r="36" spans="1:63" ht="25.8" customHeight="1">
      <c r="A36" s="29" t="s">
        <v>256</v>
      </c>
      <c r="B36" s="29" t="s">
        <v>196</v>
      </c>
      <c r="C36" s="334" t="s">
        <v>355</v>
      </c>
      <c r="D36" s="29" t="s">
        <v>208</v>
      </c>
      <c r="E36" s="29" t="s">
        <v>260</v>
      </c>
      <c r="F36" s="335">
        <v>2024130010112</v>
      </c>
      <c r="G36" s="336" t="s">
        <v>271</v>
      </c>
      <c r="H36" s="29" t="s">
        <v>284</v>
      </c>
      <c r="I36" s="350" t="s">
        <v>410</v>
      </c>
      <c r="J36" s="337">
        <v>200</v>
      </c>
      <c r="K36" s="338">
        <v>0.25</v>
      </c>
      <c r="L36" s="339" t="s">
        <v>492</v>
      </c>
      <c r="M36" s="206"/>
      <c r="N36" s="339" t="s">
        <v>635</v>
      </c>
      <c r="O36" s="339">
        <v>368</v>
      </c>
      <c r="P36" s="340">
        <v>300</v>
      </c>
      <c r="Q36" s="396">
        <v>83</v>
      </c>
      <c r="R36" s="337">
        <v>117</v>
      </c>
      <c r="S36" s="337">
        <v>42</v>
      </c>
      <c r="T36" s="435">
        <v>57</v>
      </c>
      <c r="U36" s="172">
        <f t="shared" si="0"/>
        <v>299</v>
      </c>
      <c r="V36" s="349">
        <f t="shared" si="1"/>
        <v>0.9966666666666667</v>
      </c>
      <c r="W36" s="341">
        <v>45660</v>
      </c>
      <c r="X36" s="341">
        <v>46022</v>
      </c>
      <c r="Y36" s="342">
        <f t="shared" si="2"/>
        <v>362</v>
      </c>
      <c r="Z36" s="206" t="s">
        <v>349</v>
      </c>
      <c r="AA36" s="339" t="s">
        <v>352</v>
      </c>
      <c r="AB36" s="339" t="s">
        <v>356</v>
      </c>
      <c r="AC36" s="339" t="s">
        <v>375</v>
      </c>
      <c r="AD36" s="339" t="s">
        <v>376</v>
      </c>
      <c r="AE36" s="343" t="s">
        <v>351</v>
      </c>
      <c r="AF36" s="339" t="s">
        <v>722</v>
      </c>
      <c r="AG36" s="344">
        <v>10000000</v>
      </c>
      <c r="AH36" s="206" t="s">
        <v>56</v>
      </c>
      <c r="AI36" s="206" t="s">
        <v>49</v>
      </c>
      <c r="AJ36" s="206"/>
      <c r="AK36" s="206"/>
      <c r="AL36" s="206"/>
      <c r="AM36" s="596"/>
      <c r="AN36" s="596"/>
      <c r="AO36" s="596"/>
      <c r="AP36" s="605"/>
      <c r="AQ36" s="398"/>
      <c r="AR36" s="469"/>
      <c r="AS36" s="339" t="s">
        <v>260</v>
      </c>
      <c r="AT36" s="638"/>
      <c r="AU36" s="661"/>
      <c r="AV36" s="638"/>
      <c r="AW36" s="661"/>
      <c r="AX36" s="622"/>
      <c r="AY36" s="593"/>
      <c r="AZ36" s="622"/>
      <c r="BA36" s="593"/>
      <c r="BB36" s="605"/>
      <c r="BC36" s="593"/>
      <c r="BD36" s="605"/>
      <c r="BE36" s="593"/>
      <c r="BF36" s="339"/>
      <c r="BG36" s="339"/>
      <c r="BH36" s="339"/>
      <c r="BI36" s="339"/>
      <c r="BJ36" s="29" t="s">
        <v>911</v>
      </c>
      <c r="BK36" s="683"/>
    </row>
    <row r="37" spans="1:63" ht="25.8" customHeight="1">
      <c r="A37" s="29" t="s">
        <v>256</v>
      </c>
      <c r="B37" s="29" t="s">
        <v>196</v>
      </c>
      <c r="C37" s="334" t="s">
        <v>355</v>
      </c>
      <c r="D37" s="29" t="s">
        <v>208</v>
      </c>
      <c r="E37" s="29" t="s">
        <v>260</v>
      </c>
      <c r="F37" s="335">
        <v>2024130010112</v>
      </c>
      <c r="G37" s="336" t="s">
        <v>271</v>
      </c>
      <c r="H37" s="29" t="s">
        <v>284</v>
      </c>
      <c r="I37" s="350" t="s">
        <v>410</v>
      </c>
      <c r="J37" s="337">
        <v>200</v>
      </c>
      <c r="K37" s="338">
        <v>0.25</v>
      </c>
      <c r="L37" s="339" t="s">
        <v>492</v>
      </c>
      <c r="M37" s="206"/>
      <c r="N37" s="339" t="s">
        <v>635</v>
      </c>
      <c r="O37" s="206">
        <v>368</v>
      </c>
      <c r="P37" s="340">
        <v>300</v>
      </c>
      <c r="Q37" s="396">
        <v>83</v>
      </c>
      <c r="R37" s="337">
        <v>117</v>
      </c>
      <c r="S37" s="337">
        <v>42</v>
      </c>
      <c r="T37" s="435">
        <v>57</v>
      </c>
      <c r="U37" s="172">
        <f t="shared" si="0"/>
        <v>299</v>
      </c>
      <c r="V37" s="349">
        <f t="shared" si="1"/>
        <v>0.9966666666666667</v>
      </c>
      <c r="W37" s="341">
        <v>45660</v>
      </c>
      <c r="X37" s="341">
        <v>46022</v>
      </c>
      <c r="Y37" s="342">
        <f t="shared" si="2"/>
        <v>362</v>
      </c>
      <c r="Z37" s="206" t="s">
        <v>349</v>
      </c>
      <c r="AA37" s="339" t="s">
        <v>352</v>
      </c>
      <c r="AB37" s="339" t="s">
        <v>356</v>
      </c>
      <c r="AC37" s="339" t="s">
        <v>375</v>
      </c>
      <c r="AD37" s="339" t="s">
        <v>376</v>
      </c>
      <c r="AE37" s="343" t="s">
        <v>351</v>
      </c>
      <c r="AF37" s="339" t="s">
        <v>723</v>
      </c>
      <c r="AG37" s="344">
        <v>50000000</v>
      </c>
      <c r="AH37" s="206" t="s">
        <v>56</v>
      </c>
      <c r="AI37" s="206" t="s">
        <v>49</v>
      </c>
      <c r="AJ37" s="206"/>
      <c r="AK37" s="206"/>
      <c r="AL37" s="345" t="s">
        <v>841</v>
      </c>
      <c r="AM37" s="596"/>
      <c r="AN37" s="596"/>
      <c r="AO37" s="596"/>
      <c r="AP37" s="605"/>
      <c r="AQ37" s="398"/>
      <c r="AR37" s="469"/>
      <c r="AS37" s="339" t="s">
        <v>260</v>
      </c>
      <c r="AT37" s="638"/>
      <c r="AU37" s="661"/>
      <c r="AV37" s="638"/>
      <c r="AW37" s="661"/>
      <c r="AX37" s="622"/>
      <c r="AY37" s="593"/>
      <c r="AZ37" s="622"/>
      <c r="BA37" s="593"/>
      <c r="BB37" s="605"/>
      <c r="BC37" s="593"/>
      <c r="BD37" s="605"/>
      <c r="BE37" s="593"/>
      <c r="BF37" s="339"/>
      <c r="BG37" s="339"/>
      <c r="BH37" s="339"/>
      <c r="BI37" s="339"/>
      <c r="BJ37" s="29" t="s">
        <v>911</v>
      </c>
      <c r="BK37" s="683"/>
    </row>
    <row r="38" spans="1:63" ht="25.8" customHeight="1">
      <c r="A38" s="29" t="s">
        <v>256</v>
      </c>
      <c r="B38" s="29" t="s">
        <v>196</v>
      </c>
      <c r="C38" s="334" t="s">
        <v>355</v>
      </c>
      <c r="D38" s="29" t="s">
        <v>208</v>
      </c>
      <c r="E38" s="29" t="s">
        <v>260</v>
      </c>
      <c r="F38" s="335">
        <v>2024130010112</v>
      </c>
      <c r="G38" s="336" t="s">
        <v>271</v>
      </c>
      <c r="H38" s="29" t="s">
        <v>284</v>
      </c>
      <c r="I38" s="350" t="s">
        <v>410</v>
      </c>
      <c r="J38" s="337">
        <v>200</v>
      </c>
      <c r="K38" s="338">
        <v>0.25</v>
      </c>
      <c r="L38" s="339" t="s">
        <v>492</v>
      </c>
      <c r="M38" s="206"/>
      <c r="N38" s="339" t="s">
        <v>635</v>
      </c>
      <c r="O38" s="339">
        <v>368</v>
      </c>
      <c r="P38" s="340">
        <v>300</v>
      </c>
      <c r="Q38" s="396">
        <v>83</v>
      </c>
      <c r="R38" s="337">
        <v>117</v>
      </c>
      <c r="S38" s="337">
        <v>42</v>
      </c>
      <c r="T38" s="435">
        <v>57</v>
      </c>
      <c r="U38" s="172">
        <f t="shared" si="0"/>
        <v>299</v>
      </c>
      <c r="V38" s="349">
        <f t="shared" si="1"/>
        <v>0.9966666666666667</v>
      </c>
      <c r="W38" s="341">
        <v>45660</v>
      </c>
      <c r="X38" s="341">
        <v>46022</v>
      </c>
      <c r="Y38" s="342">
        <f t="shared" si="2"/>
        <v>362</v>
      </c>
      <c r="Z38" s="206" t="s">
        <v>349</v>
      </c>
      <c r="AA38" s="339" t="s">
        <v>352</v>
      </c>
      <c r="AB38" s="339" t="s">
        <v>356</v>
      </c>
      <c r="AC38" s="339" t="s">
        <v>375</v>
      </c>
      <c r="AD38" s="339" t="s">
        <v>376</v>
      </c>
      <c r="AE38" s="343" t="s">
        <v>351</v>
      </c>
      <c r="AF38" s="339" t="s">
        <v>724</v>
      </c>
      <c r="AG38" s="344">
        <v>20000000</v>
      </c>
      <c r="AH38" s="206" t="s">
        <v>56</v>
      </c>
      <c r="AI38" s="206" t="s">
        <v>49</v>
      </c>
      <c r="AJ38" s="206"/>
      <c r="AK38" s="206"/>
      <c r="AL38" s="206"/>
      <c r="AM38" s="597"/>
      <c r="AN38" s="597"/>
      <c r="AO38" s="597"/>
      <c r="AP38" s="606"/>
      <c r="AQ38" s="398"/>
      <c r="AR38" s="469"/>
      <c r="AS38" s="339" t="s">
        <v>260</v>
      </c>
      <c r="AT38" s="639"/>
      <c r="AU38" s="662"/>
      <c r="AV38" s="639"/>
      <c r="AW38" s="662"/>
      <c r="AX38" s="623"/>
      <c r="AY38" s="594"/>
      <c r="AZ38" s="623"/>
      <c r="BA38" s="594"/>
      <c r="BB38" s="606"/>
      <c r="BC38" s="594"/>
      <c r="BD38" s="606"/>
      <c r="BE38" s="594"/>
      <c r="BF38" s="339"/>
      <c r="BG38" s="339"/>
      <c r="BH38" s="339"/>
      <c r="BI38" s="339"/>
      <c r="BJ38" s="29" t="s">
        <v>911</v>
      </c>
      <c r="BK38" s="683"/>
    </row>
    <row r="39" spans="1:63" ht="25.8" customHeight="1">
      <c r="A39" s="29"/>
      <c r="B39" s="29"/>
      <c r="C39" s="334"/>
      <c r="D39" s="29"/>
      <c r="E39" s="627" t="s">
        <v>766</v>
      </c>
      <c r="F39" s="628"/>
      <c r="G39" s="628"/>
      <c r="H39" s="628"/>
      <c r="I39" s="628"/>
      <c r="J39" s="628"/>
      <c r="K39" s="628"/>
      <c r="L39" s="628"/>
      <c r="M39" s="628"/>
      <c r="N39" s="628"/>
      <c r="O39" s="628"/>
      <c r="P39" s="628"/>
      <c r="Q39" s="628"/>
      <c r="R39" s="629"/>
      <c r="S39" s="357"/>
      <c r="T39" s="357"/>
      <c r="U39" s="357"/>
      <c r="V39" s="358">
        <f>AVERAGE(V9:V38)</f>
        <v>0.82954495355062163</v>
      </c>
      <c r="W39" s="341"/>
      <c r="X39" s="341"/>
      <c r="Y39" s="342"/>
      <c r="Z39" s="206"/>
      <c r="AA39" s="339"/>
      <c r="AB39" s="339"/>
      <c r="AC39" s="339"/>
      <c r="AD39" s="339"/>
      <c r="AE39" s="343"/>
      <c r="AF39" s="339"/>
      <c r="AG39" s="344"/>
      <c r="AH39" s="206"/>
      <c r="AI39" s="206"/>
      <c r="AJ39" s="206"/>
      <c r="AK39" s="206"/>
      <c r="AL39" s="206"/>
      <c r="AM39" s="359">
        <f>SUM(AM9)</f>
        <v>16069279515</v>
      </c>
      <c r="AN39" s="359">
        <f>SUM(AN9)</f>
        <v>33466088720.579998</v>
      </c>
      <c r="AO39" s="359">
        <f>SUM(AO9)</f>
        <v>47422007562.490005</v>
      </c>
      <c r="AP39" s="398">
        <f>SUM(AP9)</f>
        <v>47422007562.490005</v>
      </c>
      <c r="AQ39" s="398">
        <f>+SUM(AQ9:AQ38)</f>
        <v>139479187170.48999</v>
      </c>
      <c r="AR39" s="339"/>
      <c r="AS39" s="339" t="s">
        <v>977</v>
      </c>
      <c r="AT39" s="360">
        <f>SUM(AT9)</f>
        <v>6188370665</v>
      </c>
      <c r="AU39" s="361">
        <f>+AU9</f>
        <v>0.18491466740164519</v>
      </c>
      <c r="AV39" s="362">
        <f>SUM(AV9)</f>
        <v>6188370665</v>
      </c>
      <c r="AW39" s="363">
        <f>+AW9</f>
        <v>0.18491466740164519</v>
      </c>
      <c r="AX39" s="364">
        <f>SUM(AX9)</f>
        <v>22824053175.66</v>
      </c>
      <c r="AY39" s="365">
        <f>+AY9</f>
        <v>0.48129664577324716</v>
      </c>
      <c r="AZ39" s="364">
        <f>SUM(AZ9)</f>
        <v>17056586890.17</v>
      </c>
      <c r="BA39" s="365">
        <f>+BA9</f>
        <v>0.3596766093821272</v>
      </c>
      <c r="BB39" s="364">
        <f>SUM(BB9)</f>
        <v>37840987626.169998</v>
      </c>
      <c r="BC39" s="365">
        <f>+BC9</f>
        <v>0.79796258259006247</v>
      </c>
      <c r="BD39" s="364">
        <f>SUM(BD9)</f>
        <v>37840987626.169998</v>
      </c>
      <c r="BE39" s="365">
        <f>+BE9</f>
        <v>0.79796258259006247</v>
      </c>
      <c r="BF39" s="364">
        <f>SUM(BF9:BF38)</f>
        <v>135161810387.76997</v>
      </c>
      <c r="BG39" s="434">
        <f>+BF39/AQ39</f>
        <v>0.96904644434554421</v>
      </c>
      <c r="BH39" s="364">
        <f>SUM(BH9:BH38)</f>
        <v>39262850409.450012</v>
      </c>
      <c r="BI39" s="434">
        <f>+BH39/AQ39</f>
        <v>0.28149612286926895</v>
      </c>
      <c r="BJ39" s="367"/>
    </row>
    <row r="40" spans="1:63" ht="25.8" customHeight="1">
      <c r="A40" s="354" t="s">
        <v>257</v>
      </c>
      <c r="B40" s="29" t="s">
        <v>197</v>
      </c>
      <c r="C40" s="334" t="s">
        <v>357</v>
      </c>
      <c r="D40" s="29" t="s">
        <v>333</v>
      </c>
      <c r="E40" s="354" t="s">
        <v>261</v>
      </c>
      <c r="F40" s="335">
        <v>2024130010133</v>
      </c>
      <c r="G40" s="336" t="s">
        <v>272</v>
      </c>
      <c r="H40" s="29" t="s">
        <v>282</v>
      </c>
      <c r="I40" s="353" t="s">
        <v>238</v>
      </c>
      <c r="J40" s="337">
        <v>209</v>
      </c>
      <c r="K40" s="338">
        <v>0.5</v>
      </c>
      <c r="L40" s="29" t="s">
        <v>290</v>
      </c>
      <c r="M40" s="206"/>
      <c r="N40" s="339" t="s">
        <v>674</v>
      </c>
      <c r="O40" s="339">
        <v>0</v>
      </c>
      <c r="P40" s="340">
        <v>1</v>
      </c>
      <c r="Q40" s="428">
        <v>0</v>
      </c>
      <c r="R40" s="172">
        <v>1</v>
      </c>
      <c r="S40" s="337">
        <v>0</v>
      </c>
      <c r="T40" s="435"/>
      <c r="U40" s="337">
        <f t="shared" si="0"/>
        <v>1</v>
      </c>
      <c r="V40" s="363">
        <v>1</v>
      </c>
      <c r="W40" s="341">
        <v>45660</v>
      </c>
      <c r="X40" s="341">
        <v>46022</v>
      </c>
      <c r="Y40" s="342">
        <f t="shared" si="2"/>
        <v>362</v>
      </c>
      <c r="Z40" s="206">
        <v>385</v>
      </c>
      <c r="AA40" s="339" t="s">
        <v>352</v>
      </c>
      <c r="AB40" s="206" t="s">
        <v>359</v>
      </c>
      <c r="AC40" s="339" t="s">
        <v>377</v>
      </c>
      <c r="AD40" s="339" t="s">
        <v>378</v>
      </c>
      <c r="AE40" s="343" t="s">
        <v>351</v>
      </c>
      <c r="AF40" s="29" t="s">
        <v>596</v>
      </c>
      <c r="AG40" s="368">
        <v>75000000</v>
      </c>
      <c r="AH40" s="206" t="s">
        <v>55</v>
      </c>
      <c r="AI40" s="206" t="s">
        <v>49</v>
      </c>
      <c r="AJ40" s="206"/>
      <c r="AK40" s="206"/>
      <c r="AL40" s="345" t="s">
        <v>842</v>
      </c>
      <c r="AM40" s="613">
        <v>2749532737</v>
      </c>
      <c r="AN40" s="613">
        <v>2760697332.29</v>
      </c>
      <c r="AO40" s="613">
        <v>3549772306.21</v>
      </c>
      <c r="AP40" s="604">
        <v>3549772306.21</v>
      </c>
      <c r="AQ40" s="433">
        <v>1902037961</v>
      </c>
      <c r="AR40" s="470" t="s">
        <v>1056</v>
      </c>
      <c r="AS40" s="339" t="s">
        <v>261</v>
      </c>
      <c r="AT40" s="613">
        <v>0</v>
      </c>
      <c r="AU40" s="610">
        <v>0</v>
      </c>
      <c r="AV40" s="615">
        <v>0</v>
      </c>
      <c r="AW40" s="607">
        <v>0</v>
      </c>
      <c r="AX40" s="615">
        <v>659404630</v>
      </c>
      <c r="AY40" s="592">
        <f>+AX40/AO40</f>
        <v>0.18575969755762425</v>
      </c>
      <c r="AZ40" s="615">
        <v>151400000</v>
      </c>
      <c r="BA40" s="592">
        <f>+AZ40/AO40</f>
        <v>4.265062289633046E-2</v>
      </c>
      <c r="BB40" s="604">
        <v>659404630</v>
      </c>
      <c r="BC40" s="592">
        <f>+BB40/AP40</f>
        <v>0.18575969755762425</v>
      </c>
      <c r="BD40" s="604">
        <v>659404630</v>
      </c>
      <c r="BE40" s="592">
        <f>+BD40/AP40</f>
        <v>0.18575969755762425</v>
      </c>
      <c r="BF40" s="433">
        <v>549756125</v>
      </c>
      <c r="BG40" s="339"/>
      <c r="BH40" s="433">
        <v>549756125</v>
      </c>
      <c r="BI40" s="339"/>
      <c r="BJ40" s="29" t="s">
        <v>819</v>
      </c>
      <c r="BK40" s="683" t="s">
        <v>1032</v>
      </c>
    </row>
    <row r="41" spans="1:63" ht="25.8" customHeight="1">
      <c r="A41" s="354" t="s">
        <v>257</v>
      </c>
      <c r="B41" s="29" t="s">
        <v>197</v>
      </c>
      <c r="C41" s="334" t="s">
        <v>357</v>
      </c>
      <c r="D41" s="29" t="s">
        <v>333</v>
      </c>
      <c r="E41" s="354" t="s">
        <v>261</v>
      </c>
      <c r="F41" s="335">
        <v>2024130010133</v>
      </c>
      <c r="G41" s="336" t="s">
        <v>272</v>
      </c>
      <c r="H41" s="29" t="s">
        <v>282</v>
      </c>
      <c r="I41" s="353" t="s">
        <v>238</v>
      </c>
      <c r="J41" s="337">
        <v>209</v>
      </c>
      <c r="K41" s="338">
        <v>0.5</v>
      </c>
      <c r="L41" s="29" t="s">
        <v>290</v>
      </c>
      <c r="M41" s="206"/>
      <c r="N41" s="339" t="s">
        <v>674</v>
      </c>
      <c r="O41" s="339">
        <v>0</v>
      </c>
      <c r="P41" s="340">
        <v>1</v>
      </c>
      <c r="Q41" s="428">
        <v>0</v>
      </c>
      <c r="R41" s="337">
        <v>1</v>
      </c>
      <c r="S41" s="337">
        <v>0</v>
      </c>
      <c r="T41" s="435"/>
      <c r="U41" s="337">
        <f t="shared" si="0"/>
        <v>1</v>
      </c>
      <c r="V41" s="363">
        <v>1</v>
      </c>
      <c r="W41" s="341">
        <v>45660</v>
      </c>
      <c r="X41" s="341">
        <v>46022</v>
      </c>
      <c r="Y41" s="342">
        <f t="shared" si="2"/>
        <v>362</v>
      </c>
      <c r="Z41" s="206">
        <v>385</v>
      </c>
      <c r="AA41" s="339" t="s">
        <v>352</v>
      </c>
      <c r="AB41" s="206" t="s">
        <v>359</v>
      </c>
      <c r="AC41" s="339" t="s">
        <v>377</v>
      </c>
      <c r="AD41" s="339" t="s">
        <v>378</v>
      </c>
      <c r="AE41" s="343" t="s">
        <v>351</v>
      </c>
      <c r="AF41" s="29" t="s">
        <v>675</v>
      </c>
      <c r="AG41" s="368">
        <v>149532737</v>
      </c>
      <c r="AH41" s="339" t="s">
        <v>53</v>
      </c>
      <c r="AI41" s="206" t="s">
        <v>49</v>
      </c>
      <c r="AJ41" s="206"/>
      <c r="AK41" s="206"/>
      <c r="AL41" s="206"/>
      <c r="AM41" s="596"/>
      <c r="AN41" s="596"/>
      <c r="AO41" s="596"/>
      <c r="AP41" s="605"/>
      <c r="AQ41" s="433">
        <v>847494776</v>
      </c>
      <c r="AR41" s="470" t="s">
        <v>1058</v>
      </c>
      <c r="AS41" s="339" t="s">
        <v>261</v>
      </c>
      <c r="AT41" s="596"/>
      <c r="AU41" s="611"/>
      <c r="AV41" s="616"/>
      <c r="AW41" s="608"/>
      <c r="AX41" s="616"/>
      <c r="AY41" s="593"/>
      <c r="AZ41" s="616"/>
      <c r="BA41" s="593"/>
      <c r="BB41" s="605"/>
      <c r="BC41" s="593"/>
      <c r="BD41" s="605"/>
      <c r="BE41" s="593"/>
      <c r="BF41" s="433">
        <v>847494776</v>
      </c>
      <c r="BG41" s="339"/>
      <c r="BH41" s="433">
        <v>847494776</v>
      </c>
      <c r="BI41" s="339"/>
      <c r="BJ41" s="29" t="s">
        <v>819</v>
      </c>
      <c r="BK41" s="683"/>
    </row>
    <row r="42" spans="1:63" ht="25.8" customHeight="1">
      <c r="A42" s="354" t="s">
        <v>257</v>
      </c>
      <c r="B42" s="29" t="s">
        <v>197</v>
      </c>
      <c r="C42" s="334" t="s">
        <v>357</v>
      </c>
      <c r="D42" s="29" t="s">
        <v>333</v>
      </c>
      <c r="E42" s="354" t="s">
        <v>261</v>
      </c>
      <c r="F42" s="335">
        <v>2024130010133</v>
      </c>
      <c r="G42" s="336" t="s">
        <v>272</v>
      </c>
      <c r="H42" s="29" t="s">
        <v>282</v>
      </c>
      <c r="I42" s="353" t="s">
        <v>238</v>
      </c>
      <c r="J42" s="337">
        <v>209</v>
      </c>
      <c r="K42" s="338">
        <v>0.5</v>
      </c>
      <c r="L42" s="29" t="s">
        <v>278</v>
      </c>
      <c r="M42" s="206"/>
      <c r="N42" s="339" t="s">
        <v>788</v>
      </c>
      <c r="O42" s="339">
        <v>17</v>
      </c>
      <c r="P42" s="340">
        <v>385</v>
      </c>
      <c r="Q42" s="455">
        <f>8+200</f>
        <v>208</v>
      </c>
      <c r="R42" s="337">
        <v>1</v>
      </c>
      <c r="S42" s="337">
        <v>27</v>
      </c>
      <c r="T42" s="435">
        <v>146</v>
      </c>
      <c r="U42" s="172">
        <f t="shared" si="0"/>
        <v>382</v>
      </c>
      <c r="V42" s="349">
        <f t="shared" ref="V42:V59" si="3">+U42/P42</f>
        <v>0.99220779220779221</v>
      </c>
      <c r="W42" s="341">
        <v>45660</v>
      </c>
      <c r="X42" s="341">
        <v>46022</v>
      </c>
      <c r="Y42" s="342">
        <f t="shared" si="2"/>
        <v>362</v>
      </c>
      <c r="Z42" s="206">
        <v>385</v>
      </c>
      <c r="AA42" s="339" t="s">
        <v>352</v>
      </c>
      <c r="AB42" s="206" t="s">
        <v>359</v>
      </c>
      <c r="AC42" s="339" t="s">
        <v>377</v>
      </c>
      <c r="AD42" s="339" t="s">
        <v>378</v>
      </c>
      <c r="AE42" s="343" t="s">
        <v>351</v>
      </c>
      <c r="AF42" s="29" t="s">
        <v>596</v>
      </c>
      <c r="AG42" s="368">
        <v>75000000</v>
      </c>
      <c r="AH42" s="206" t="s">
        <v>55</v>
      </c>
      <c r="AI42" s="206" t="s">
        <v>49</v>
      </c>
      <c r="AJ42" s="206"/>
      <c r="AK42" s="206"/>
      <c r="AL42" s="345" t="s">
        <v>843</v>
      </c>
      <c r="AM42" s="596"/>
      <c r="AN42" s="596"/>
      <c r="AO42" s="596"/>
      <c r="AP42" s="605"/>
      <c r="AQ42" s="433">
        <v>11164595.289999999</v>
      </c>
      <c r="AR42" s="470" t="s">
        <v>1059</v>
      </c>
      <c r="AS42" s="339" t="s">
        <v>261</v>
      </c>
      <c r="AT42" s="596"/>
      <c r="AU42" s="611"/>
      <c r="AV42" s="616"/>
      <c r="AW42" s="608"/>
      <c r="AX42" s="616"/>
      <c r="AY42" s="593"/>
      <c r="AZ42" s="616"/>
      <c r="BA42" s="593"/>
      <c r="BB42" s="605"/>
      <c r="BC42" s="593"/>
      <c r="BD42" s="605"/>
      <c r="BE42" s="593"/>
      <c r="BF42" s="433">
        <v>1700740505.46</v>
      </c>
      <c r="BG42" s="339"/>
      <c r="BH42" s="433">
        <v>1700740505.46</v>
      </c>
      <c r="BI42" s="339"/>
      <c r="BJ42" s="29" t="s">
        <v>819</v>
      </c>
      <c r="BK42" s="683"/>
    </row>
    <row r="43" spans="1:63" ht="25.8" customHeight="1">
      <c r="A43" s="29" t="s">
        <v>257</v>
      </c>
      <c r="B43" s="29" t="s">
        <v>197</v>
      </c>
      <c r="C43" s="334" t="s">
        <v>357</v>
      </c>
      <c r="D43" s="29" t="s">
        <v>333</v>
      </c>
      <c r="E43" s="29" t="s">
        <v>261</v>
      </c>
      <c r="F43" s="335">
        <v>2024130010133</v>
      </c>
      <c r="G43" s="336" t="s">
        <v>272</v>
      </c>
      <c r="H43" s="29" t="s">
        <v>282</v>
      </c>
      <c r="I43" s="353" t="s">
        <v>238</v>
      </c>
      <c r="J43" s="337">
        <v>209</v>
      </c>
      <c r="K43" s="338">
        <v>0.5</v>
      </c>
      <c r="L43" s="29" t="s">
        <v>278</v>
      </c>
      <c r="M43" s="206"/>
      <c r="N43" s="339" t="s">
        <v>788</v>
      </c>
      <c r="O43" s="339">
        <v>17</v>
      </c>
      <c r="P43" s="340">
        <v>385</v>
      </c>
      <c r="Q43" s="455">
        <f>8+200</f>
        <v>208</v>
      </c>
      <c r="R43" s="337">
        <v>1</v>
      </c>
      <c r="S43" s="337">
        <v>27</v>
      </c>
      <c r="T43" s="435">
        <v>146</v>
      </c>
      <c r="U43" s="172">
        <f t="shared" si="0"/>
        <v>382</v>
      </c>
      <c r="V43" s="349">
        <f t="shared" si="3"/>
        <v>0.99220779220779221</v>
      </c>
      <c r="W43" s="341">
        <v>45660</v>
      </c>
      <c r="X43" s="341">
        <v>46022</v>
      </c>
      <c r="Y43" s="342">
        <f t="shared" si="2"/>
        <v>362</v>
      </c>
      <c r="Z43" s="206">
        <v>385</v>
      </c>
      <c r="AA43" s="339" t="s">
        <v>352</v>
      </c>
      <c r="AB43" s="206" t="s">
        <v>360</v>
      </c>
      <c r="AC43" s="351" t="s">
        <v>380</v>
      </c>
      <c r="AD43" s="350" t="s">
        <v>379</v>
      </c>
      <c r="AE43" s="343" t="s">
        <v>351</v>
      </c>
      <c r="AF43" s="29" t="s">
        <v>597</v>
      </c>
      <c r="AG43" s="368">
        <v>1150000000</v>
      </c>
      <c r="AH43" s="29" t="s">
        <v>676</v>
      </c>
      <c r="AI43" s="29" t="s">
        <v>679</v>
      </c>
      <c r="AJ43" s="206"/>
      <c r="AK43" s="206"/>
      <c r="AL43" s="206"/>
      <c r="AM43" s="596"/>
      <c r="AN43" s="596"/>
      <c r="AO43" s="596"/>
      <c r="AP43" s="605"/>
      <c r="AQ43" s="433">
        <v>8390551.3599999994</v>
      </c>
      <c r="AR43" s="470" t="s">
        <v>1060</v>
      </c>
      <c r="AS43" s="339" t="s">
        <v>261</v>
      </c>
      <c r="AT43" s="596"/>
      <c r="AU43" s="611"/>
      <c r="AV43" s="616"/>
      <c r="AW43" s="608"/>
      <c r="AX43" s="616"/>
      <c r="AY43" s="593"/>
      <c r="AZ43" s="616"/>
      <c r="BA43" s="593"/>
      <c r="BB43" s="605"/>
      <c r="BC43" s="593"/>
      <c r="BD43" s="605"/>
      <c r="BE43" s="593"/>
      <c r="BF43" s="433">
        <v>11164595.289999999</v>
      </c>
      <c r="BG43" s="339"/>
      <c r="BH43" s="433">
        <v>11164595.289999999</v>
      </c>
      <c r="BI43" s="339"/>
      <c r="BJ43" s="29" t="s">
        <v>819</v>
      </c>
      <c r="BK43" s="683"/>
    </row>
    <row r="44" spans="1:63" ht="25.8" customHeight="1">
      <c r="A44" s="29" t="s">
        <v>257</v>
      </c>
      <c r="B44" s="29" t="s">
        <v>197</v>
      </c>
      <c r="C44" s="334" t="s">
        <v>357</v>
      </c>
      <c r="D44" s="29" t="s">
        <v>210</v>
      </c>
      <c r="E44" s="29" t="s">
        <v>261</v>
      </c>
      <c r="F44" s="335">
        <v>2024130010133</v>
      </c>
      <c r="G44" s="336" t="s">
        <v>272</v>
      </c>
      <c r="H44" s="29" t="s">
        <v>283</v>
      </c>
      <c r="I44" s="353" t="s">
        <v>239</v>
      </c>
      <c r="J44" s="337">
        <v>46</v>
      </c>
      <c r="K44" s="338">
        <v>0.5</v>
      </c>
      <c r="L44" s="29" t="s">
        <v>280</v>
      </c>
      <c r="M44" s="206"/>
      <c r="N44" s="339" t="s">
        <v>677</v>
      </c>
      <c r="O44" s="339">
        <v>272</v>
      </c>
      <c r="P44" s="340">
        <v>300</v>
      </c>
      <c r="Q44" s="428">
        <v>11</v>
      </c>
      <c r="R44" s="337">
        <v>115</v>
      </c>
      <c r="S44" s="337">
        <v>0</v>
      </c>
      <c r="T44" s="435">
        <v>0</v>
      </c>
      <c r="U44" s="172">
        <f t="shared" si="0"/>
        <v>126</v>
      </c>
      <c r="V44" s="349">
        <f t="shared" si="3"/>
        <v>0.42</v>
      </c>
      <c r="W44" s="341">
        <v>45660</v>
      </c>
      <c r="X44" s="341">
        <v>46022</v>
      </c>
      <c r="Y44" s="342">
        <f t="shared" si="2"/>
        <v>362</v>
      </c>
      <c r="Z44" s="343">
        <v>200</v>
      </c>
      <c r="AA44" s="339" t="s">
        <v>352</v>
      </c>
      <c r="AB44" s="206" t="s">
        <v>360</v>
      </c>
      <c r="AC44" s="339" t="s">
        <v>370</v>
      </c>
      <c r="AD44" s="206" t="s">
        <v>373</v>
      </c>
      <c r="AE44" s="343" t="s">
        <v>351</v>
      </c>
      <c r="AF44" s="29" t="s">
        <v>596</v>
      </c>
      <c r="AG44" s="368">
        <v>75000000</v>
      </c>
      <c r="AH44" s="206" t="s">
        <v>55</v>
      </c>
      <c r="AI44" s="206" t="s">
        <v>49</v>
      </c>
      <c r="AJ44" s="206"/>
      <c r="AK44" s="206"/>
      <c r="AL44" s="345" t="s">
        <v>844</v>
      </c>
      <c r="AM44" s="596"/>
      <c r="AN44" s="596"/>
      <c r="AO44" s="596"/>
      <c r="AP44" s="605"/>
      <c r="AQ44" s="433">
        <v>780684422.55999994</v>
      </c>
      <c r="AR44" s="470" t="s">
        <v>1065</v>
      </c>
      <c r="AS44" s="339" t="s">
        <v>261</v>
      </c>
      <c r="AT44" s="596"/>
      <c r="AU44" s="611"/>
      <c r="AV44" s="616"/>
      <c r="AW44" s="608"/>
      <c r="AX44" s="616"/>
      <c r="AY44" s="593"/>
      <c r="AZ44" s="616"/>
      <c r="BA44" s="593"/>
      <c r="BB44" s="605"/>
      <c r="BC44" s="593"/>
      <c r="BD44" s="605"/>
      <c r="BE44" s="593"/>
      <c r="BF44" s="433">
        <v>8390551.3599999994</v>
      </c>
      <c r="BG44" s="339"/>
      <c r="BH44" s="433">
        <v>8390551.3599999994</v>
      </c>
      <c r="BI44" s="339"/>
      <c r="BJ44" s="29" t="s">
        <v>914</v>
      </c>
      <c r="BK44" s="683" t="s">
        <v>1033</v>
      </c>
    </row>
    <row r="45" spans="1:63" ht="25.8" customHeight="1">
      <c r="A45" s="29" t="s">
        <v>257</v>
      </c>
      <c r="B45" s="29" t="s">
        <v>197</v>
      </c>
      <c r="C45" s="334" t="s">
        <v>357</v>
      </c>
      <c r="D45" s="29" t="s">
        <v>210</v>
      </c>
      <c r="E45" s="29" t="s">
        <v>261</v>
      </c>
      <c r="F45" s="335">
        <v>2024130010133</v>
      </c>
      <c r="G45" s="336" t="s">
        <v>272</v>
      </c>
      <c r="H45" s="29" t="s">
        <v>283</v>
      </c>
      <c r="I45" s="353" t="s">
        <v>239</v>
      </c>
      <c r="J45" s="337">
        <v>46</v>
      </c>
      <c r="K45" s="338">
        <v>0.5</v>
      </c>
      <c r="L45" s="29" t="s">
        <v>279</v>
      </c>
      <c r="M45" s="206"/>
      <c r="N45" s="339" t="s">
        <v>789</v>
      </c>
      <c r="O45" s="339">
        <v>19</v>
      </c>
      <c r="P45" s="340">
        <v>100</v>
      </c>
      <c r="Q45" s="456">
        <v>27</v>
      </c>
      <c r="R45" s="337">
        <v>19</v>
      </c>
      <c r="S45" s="337">
        <v>6</v>
      </c>
      <c r="T45" s="435">
        <v>48</v>
      </c>
      <c r="U45" s="172">
        <f t="shared" si="0"/>
        <v>100</v>
      </c>
      <c r="V45" s="349">
        <f t="shared" si="3"/>
        <v>1</v>
      </c>
      <c r="W45" s="341">
        <v>45660</v>
      </c>
      <c r="X45" s="341">
        <v>46022</v>
      </c>
      <c r="Y45" s="342">
        <f t="shared" si="2"/>
        <v>362</v>
      </c>
      <c r="Z45" s="343">
        <v>100</v>
      </c>
      <c r="AA45" s="339" t="s">
        <v>352</v>
      </c>
      <c r="AB45" s="206" t="s">
        <v>360</v>
      </c>
      <c r="AC45" s="339" t="s">
        <v>370</v>
      </c>
      <c r="AD45" s="206" t="s">
        <v>373</v>
      </c>
      <c r="AE45" s="343" t="s">
        <v>351</v>
      </c>
      <c r="AF45" s="29" t="s">
        <v>596</v>
      </c>
      <c r="AG45" s="368">
        <v>75000000</v>
      </c>
      <c r="AH45" s="206" t="s">
        <v>55</v>
      </c>
      <c r="AI45" s="206" t="s">
        <v>49</v>
      </c>
      <c r="AJ45" s="206"/>
      <c r="AK45" s="206"/>
      <c r="AL45" s="345" t="s">
        <v>845</v>
      </c>
      <c r="AM45" s="596"/>
      <c r="AN45" s="596"/>
      <c r="AO45" s="596"/>
      <c r="AP45" s="605"/>
      <c r="AQ45" s="433">
        <v>604000000</v>
      </c>
      <c r="AR45" s="470" t="s">
        <v>1066</v>
      </c>
      <c r="AS45" s="339" t="s">
        <v>261</v>
      </c>
      <c r="AT45" s="596"/>
      <c r="AU45" s="611"/>
      <c r="AV45" s="616"/>
      <c r="AW45" s="608"/>
      <c r="AX45" s="616"/>
      <c r="AY45" s="593"/>
      <c r="AZ45" s="616"/>
      <c r="BA45" s="593"/>
      <c r="BB45" s="605"/>
      <c r="BC45" s="593"/>
      <c r="BD45" s="605"/>
      <c r="BE45" s="593"/>
      <c r="BF45" s="433">
        <v>780684422.55999994</v>
      </c>
      <c r="BG45" s="339"/>
      <c r="BH45" s="433">
        <v>780684422.55999994</v>
      </c>
      <c r="BI45" s="339"/>
      <c r="BJ45" s="29" t="s">
        <v>914</v>
      </c>
      <c r="BK45" s="683"/>
    </row>
    <row r="46" spans="1:63" ht="25.8" customHeight="1">
      <c r="A46" s="29" t="s">
        <v>257</v>
      </c>
      <c r="B46" s="29" t="s">
        <v>197</v>
      </c>
      <c r="C46" s="334" t="s">
        <v>357</v>
      </c>
      <c r="D46" s="29" t="s">
        <v>210</v>
      </c>
      <c r="E46" s="29" t="s">
        <v>261</v>
      </c>
      <c r="F46" s="335">
        <v>2024130010133</v>
      </c>
      <c r="G46" s="336" t="s">
        <v>272</v>
      </c>
      <c r="H46" s="29" t="s">
        <v>283</v>
      </c>
      <c r="I46" s="353" t="s">
        <v>239</v>
      </c>
      <c r="J46" s="337">
        <v>46</v>
      </c>
      <c r="K46" s="338">
        <v>0.5</v>
      </c>
      <c r="L46" s="29" t="s">
        <v>279</v>
      </c>
      <c r="M46" s="206"/>
      <c r="N46" s="339" t="s">
        <v>789</v>
      </c>
      <c r="O46" s="339">
        <v>19</v>
      </c>
      <c r="P46" s="340">
        <v>100</v>
      </c>
      <c r="Q46" s="456">
        <v>27</v>
      </c>
      <c r="R46" s="337">
        <v>19</v>
      </c>
      <c r="S46" s="337">
        <v>6</v>
      </c>
      <c r="T46" s="435">
        <v>48</v>
      </c>
      <c r="U46" s="172">
        <f t="shared" si="0"/>
        <v>100</v>
      </c>
      <c r="V46" s="349">
        <f t="shared" si="3"/>
        <v>1</v>
      </c>
      <c r="W46" s="341">
        <v>45660</v>
      </c>
      <c r="X46" s="341">
        <v>46022</v>
      </c>
      <c r="Y46" s="342">
        <f t="shared" si="2"/>
        <v>362</v>
      </c>
      <c r="Z46" s="343">
        <v>100</v>
      </c>
      <c r="AA46" s="339" t="s">
        <v>352</v>
      </c>
      <c r="AB46" s="206" t="s">
        <v>360</v>
      </c>
      <c r="AC46" s="339" t="s">
        <v>381</v>
      </c>
      <c r="AD46" s="339" t="s">
        <v>382</v>
      </c>
      <c r="AE46" s="343" t="s">
        <v>351</v>
      </c>
      <c r="AF46" s="29" t="s">
        <v>678</v>
      </c>
      <c r="AG46" s="368">
        <v>1150000000</v>
      </c>
      <c r="AH46" s="29" t="s">
        <v>676</v>
      </c>
      <c r="AI46" s="29" t="s">
        <v>679</v>
      </c>
      <c r="AJ46" s="370"/>
      <c r="AK46" s="370"/>
      <c r="AL46" s="345" t="s">
        <v>846</v>
      </c>
      <c r="AM46" s="597"/>
      <c r="AN46" s="597"/>
      <c r="AO46" s="597"/>
      <c r="AP46" s="606"/>
      <c r="AQ46" s="206"/>
      <c r="AR46" s="469"/>
      <c r="AS46" s="339" t="s">
        <v>261</v>
      </c>
      <c r="AT46" s="597"/>
      <c r="AU46" s="612"/>
      <c r="AV46" s="617"/>
      <c r="AW46" s="609"/>
      <c r="AX46" s="617"/>
      <c r="AY46" s="594"/>
      <c r="AZ46" s="617"/>
      <c r="BA46" s="594"/>
      <c r="BB46" s="606"/>
      <c r="BC46" s="594"/>
      <c r="BD46" s="606"/>
      <c r="BE46" s="594"/>
      <c r="BF46" s="339"/>
      <c r="BG46" s="339"/>
      <c r="BH46" s="339"/>
      <c r="BI46" s="339"/>
      <c r="BJ46" s="29" t="s">
        <v>914</v>
      </c>
      <c r="BK46" s="683"/>
    </row>
    <row r="47" spans="1:63" ht="25.8" customHeight="1">
      <c r="A47" s="29"/>
      <c r="B47" s="29"/>
      <c r="C47" s="334"/>
      <c r="D47" s="29"/>
      <c r="E47" s="663" t="s">
        <v>768</v>
      </c>
      <c r="F47" s="664"/>
      <c r="G47" s="664"/>
      <c r="H47" s="664"/>
      <c r="I47" s="664"/>
      <c r="J47" s="664"/>
      <c r="K47" s="664"/>
      <c r="L47" s="664"/>
      <c r="M47" s="664"/>
      <c r="N47" s="664"/>
      <c r="O47" s="664"/>
      <c r="P47" s="664"/>
      <c r="Q47" s="664"/>
      <c r="R47" s="665"/>
      <c r="S47" s="357"/>
      <c r="T47" s="357"/>
      <c r="U47" s="357"/>
      <c r="V47" s="371">
        <f>AVERAGE(V40:V46)</f>
        <v>0.91491651205936919</v>
      </c>
      <c r="W47" s="341"/>
      <c r="X47" s="341"/>
      <c r="Y47" s="342"/>
      <c r="Z47" s="343"/>
      <c r="AA47" s="339"/>
      <c r="AB47" s="206"/>
      <c r="AC47" s="339"/>
      <c r="AD47" s="339"/>
      <c r="AE47" s="343"/>
      <c r="AF47" s="29"/>
      <c r="AG47" s="368"/>
      <c r="AH47" s="29"/>
      <c r="AI47" s="29"/>
      <c r="AJ47" s="370"/>
      <c r="AK47" s="370"/>
      <c r="AL47" s="206"/>
      <c r="AM47" s="359">
        <f>SUM(AM40)</f>
        <v>2749532737</v>
      </c>
      <c r="AN47" s="359">
        <f>SUM(AN40)</f>
        <v>2760697332.29</v>
      </c>
      <c r="AO47" s="359">
        <f>SUM(AO40)</f>
        <v>3549772306.21</v>
      </c>
      <c r="AP47" s="359">
        <f>SUM(AP40)</f>
        <v>3549772306.21</v>
      </c>
      <c r="AQ47" s="383">
        <f>SUM(AQ40:AQ46)</f>
        <v>4153772306.21</v>
      </c>
      <c r="AR47" s="339"/>
      <c r="AS47" s="339"/>
      <c r="AT47" s="360">
        <f>SUM(AT40:AT46)</f>
        <v>0</v>
      </c>
      <c r="AU47" s="372">
        <f>+AU46</f>
        <v>0</v>
      </c>
      <c r="AV47" s="339">
        <f>SUM(AV40)</f>
        <v>0</v>
      </c>
      <c r="AW47" s="363">
        <f>+AW40</f>
        <v>0</v>
      </c>
      <c r="AX47" s="373">
        <f>SUM(AX40)</f>
        <v>659404630</v>
      </c>
      <c r="AY47" s="365">
        <f>+AY40</f>
        <v>0.18575969755762425</v>
      </c>
      <c r="AZ47" s="373">
        <f>SUM(AZ40)</f>
        <v>151400000</v>
      </c>
      <c r="BA47" s="365">
        <f>+BA40</f>
        <v>4.265062289633046E-2</v>
      </c>
      <c r="BB47" s="373">
        <f>SUM(BB40)</f>
        <v>659404630</v>
      </c>
      <c r="BC47" s="365">
        <f>+BC40</f>
        <v>0.18575969755762425</v>
      </c>
      <c r="BD47" s="373">
        <f>SUM(BD40)</f>
        <v>659404630</v>
      </c>
      <c r="BE47" s="365">
        <f>+BE40</f>
        <v>0.18575969755762425</v>
      </c>
      <c r="BF47" s="373">
        <f>SUM(BF40:BF46)</f>
        <v>3898230975.6700001</v>
      </c>
      <c r="BG47" s="434">
        <f>+BF47/AQ47</f>
        <v>0.93847969707969814</v>
      </c>
      <c r="BH47" s="373">
        <f>SUM(BH40:BH45)</f>
        <v>3898230975.6700001</v>
      </c>
      <c r="BI47" s="434">
        <f>+BH47/AQ47</f>
        <v>0.93847969707969814</v>
      </c>
      <c r="BJ47" s="367"/>
    </row>
    <row r="48" spans="1:63" ht="25.8" customHeight="1">
      <c r="A48" s="29" t="s">
        <v>258</v>
      </c>
      <c r="B48" s="29" t="s">
        <v>198</v>
      </c>
      <c r="C48" s="334" t="s">
        <v>358</v>
      </c>
      <c r="D48" s="29" t="s">
        <v>212</v>
      </c>
      <c r="E48" s="29" t="s">
        <v>262</v>
      </c>
      <c r="F48" s="335">
        <v>2024130010147</v>
      </c>
      <c r="G48" s="339" t="s">
        <v>458</v>
      </c>
      <c r="H48" s="29" t="s">
        <v>460</v>
      </c>
      <c r="I48" s="29" t="s">
        <v>461</v>
      </c>
      <c r="J48" s="337">
        <v>1843</v>
      </c>
      <c r="K48" s="338">
        <v>0.3</v>
      </c>
      <c r="L48" s="29" t="s">
        <v>682</v>
      </c>
      <c r="M48" s="206"/>
      <c r="N48" s="339" t="s">
        <v>684</v>
      </c>
      <c r="O48" s="339" t="s">
        <v>825</v>
      </c>
      <c r="P48" s="340">
        <v>1</v>
      </c>
      <c r="Q48" s="428">
        <v>0</v>
      </c>
      <c r="R48" s="337">
        <v>0.5</v>
      </c>
      <c r="S48" s="337">
        <v>0</v>
      </c>
      <c r="T48" s="435">
        <v>0</v>
      </c>
      <c r="U48" s="172">
        <f t="shared" si="0"/>
        <v>0.5</v>
      </c>
      <c r="V48" s="349">
        <f t="shared" si="3"/>
        <v>0.5</v>
      </c>
      <c r="W48" s="341">
        <v>45660</v>
      </c>
      <c r="X48" s="341">
        <v>46022</v>
      </c>
      <c r="Y48" s="342">
        <f t="shared" si="2"/>
        <v>362</v>
      </c>
      <c r="Z48" s="343">
        <v>5400</v>
      </c>
      <c r="AA48" s="339" t="s">
        <v>352</v>
      </c>
      <c r="AB48" s="339" t="s">
        <v>367</v>
      </c>
      <c r="AC48" s="29" t="s">
        <v>467</v>
      </c>
      <c r="AD48" s="29" t="s">
        <v>468</v>
      </c>
      <c r="AE48" s="343" t="s">
        <v>351</v>
      </c>
      <c r="AF48" s="29" t="s">
        <v>596</v>
      </c>
      <c r="AG48" s="368">
        <v>64500000</v>
      </c>
      <c r="AH48" s="206" t="s">
        <v>55</v>
      </c>
      <c r="AI48" s="206" t="s">
        <v>49</v>
      </c>
      <c r="AJ48" s="206"/>
      <c r="AK48" s="206"/>
      <c r="AL48" s="345" t="s">
        <v>847</v>
      </c>
      <c r="AM48" s="643">
        <v>844891147</v>
      </c>
      <c r="AN48" s="643">
        <v>899558349</v>
      </c>
      <c r="AO48" s="643">
        <v>899558349</v>
      </c>
      <c r="AP48" s="601">
        <v>899558349</v>
      </c>
      <c r="AQ48" s="433">
        <v>172193039</v>
      </c>
      <c r="AR48" s="469" t="s">
        <v>1054</v>
      </c>
      <c r="AS48" s="339" t="s">
        <v>262</v>
      </c>
      <c r="AT48" s="613">
        <v>0</v>
      </c>
      <c r="AU48" s="613">
        <v>0</v>
      </c>
      <c r="AV48" s="613">
        <v>0</v>
      </c>
      <c r="AW48" s="595">
        <v>0</v>
      </c>
      <c r="AX48" s="613">
        <v>0</v>
      </c>
      <c r="AY48" s="613">
        <v>0</v>
      </c>
      <c r="AZ48" s="613">
        <v>0</v>
      </c>
      <c r="BA48" s="595">
        <v>0</v>
      </c>
      <c r="BB48" s="601">
        <v>316500000</v>
      </c>
      <c r="BC48" s="595">
        <f>+BB48/AP48</f>
        <v>0.35183932243176813</v>
      </c>
      <c r="BD48" s="601">
        <v>316500000</v>
      </c>
      <c r="BE48" s="595">
        <f>+BD48/AP48</f>
        <v>0.35183932243176813</v>
      </c>
      <c r="BF48" s="433">
        <v>0</v>
      </c>
      <c r="BG48" s="339"/>
      <c r="BH48" s="433">
        <v>0</v>
      </c>
      <c r="BI48" s="339"/>
      <c r="BJ48" s="29" t="s">
        <v>915</v>
      </c>
      <c r="BK48" s="676" t="s">
        <v>1034</v>
      </c>
    </row>
    <row r="49" spans="1:63" ht="25.8" customHeight="1">
      <c r="A49" s="29" t="s">
        <v>258</v>
      </c>
      <c r="B49" s="29" t="s">
        <v>198</v>
      </c>
      <c r="C49" s="334" t="s">
        <v>358</v>
      </c>
      <c r="D49" s="29" t="s">
        <v>212</v>
      </c>
      <c r="E49" s="29" t="s">
        <v>262</v>
      </c>
      <c r="F49" s="335">
        <v>2024130010147</v>
      </c>
      <c r="G49" s="336" t="s">
        <v>474</v>
      </c>
      <c r="H49" s="29" t="s">
        <v>459</v>
      </c>
      <c r="I49" s="29" t="s">
        <v>241</v>
      </c>
      <c r="J49" s="337">
        <v>1.5</v>
      </c>
      <c r="K49" s="338">
        <v>0.3</v>
      </c>
      <c r="L49" s="29" t="s">
        <v>463</v>
      </c>
      <c r="M49" s="206"/>
      <c r="N49" s="339" t="s">
        <v>790</v>
      </c>
      <c r="O49" s="339">
        <v>4</v>
      </c>
      <c r="P49" s="340">
        <v>3</v>
      </c>
      <c r="Q49" s="428">
        <v>0.5</v>
      </c>
      <c r="R49" s="337">
        <v>1</v>
      </c>
      <c r="S49" s="337">
        <v>0.5</v>
      </c>
      <c r="T49" s="435">
        <v>1</v>
      </c>
      <c r="U49" s="172">
        <f t="shared" si="0"/>
        <v>3</v>
      </c>
      <c r="V49" s="349">
        <f t="shared" si="3"/>
        <v>1</v>
      </c>
      <c r="W49" s="341">
        <v>45660</v>
      </c>
      <c r="X49" s="341">
        <v>46022</v>
      </c>
      <c r="Y49" s="342">
        <f t="shared" si="2"/>
        <v>362</v>
      </c>
      <c r="Z49" s="343">
        <v>3</v>
      </c>
      <c r="AA49" s="339" t="s">
        <v>352</v>
      </c>
      <c r="AB49" s="339" t="s">
        <v>367</v>
      </c>
      <c r="AC49" s="29" t="s">
        <v>374</v>
      </c>
      <c r="AD49" s="29" t="s">
        <v>469</v>
      </c>
      <c r="AE49" s="343" t="s">
        <v>351</v>
      </c>
      <c r="AF49" s="29" t="s">
        <v>596</v>
      </c>
      <c r="AG49" s="368">
        <v>64500000</v>
      </c>
      <c r="AH49" s="206" t="s">
        <v>55</v>
      </c>
      <c r="AI49" s="206" t="s">
        <v>49</v>
      </c>
      <c r="AJ49" s="206"/>
      <c r="AK49" s="206"/>
      <c r="AL49" s="345" t="s">
        <v>848</v>
      </c>
      <c r="AM49" s="644"/>
      <c r="AN49" s="644"/>
      <c r="AO49" s="644"/>
      <c r="AP49" s="602"/>
      <c r="AQ49" s="433">
        <v>321000000</v>
      </c>
      <c r="AR49" s="470" t="s">
        <v>1056</v>
      </c>
      <c r="AS49" s="339" t="s">
        <v>262</v>
      </c>
      <c r="AT49" s="596"/>
      <c r="AU49" s="596"/>
      <c r="AV49" s="596"/>
      <c r="AW49" s="596"/>
      <c r="AX49" s="596"/>
      <c r="AY49" s="596"/>
      <c r="AZ49" s="596"/>
      <c r="BA49" s="596"/>
      <c r="BB49" s="602"/>
      <c r="BC49" s="596"/>
      <c r="BD49" s="602"/>
      <c r="BE49" s="596"/>
      <c r="BF49" s="431">
        <v>162407500</v>
      </c>
      <c r="BG49" s="339"/>
      <c r="BH49" s="431">
        <v>162407500</v>
      </c>
      <c r="BI49" s="339"/>
      <c r="BJ49" s="29" t="s">
        <v>916</v>
      </c>
      <c r="BK49" s="676"/>
    </row>
    <row r="50" spans="1:63" ht="25.8" customHeight="1">
      <c r="A50" s="29" t="s">
        <v>258</v>
      </c>
      <c r="B50" s="29" t="s">
        <v>198</v>
      </c>
      <c r="C50" s="334" t="s">
        <v>358</v>
      </c>
      <c r="D50" s="29" t="s">
        <v>212</v>
      </c>
      <c r="E50" s="29" t="s">
        <v>262</v>
      </c>
      <c r="F50" s="335">
        <v>2024130010147</v>
      </c>
      <c r="G50" s="336" t="s">
        <v>474</v>
      </c>
      <c r="H50" s="29" t="s">
        <v>459</v>
      </c>
      <c r="I50" s="29" t="s">
        <v>241</v>
      </c>
      <c r="J50" s="337">
        <v>1.5</v>
      </c>
      <c r="K50" s="338">
        <v>0.3</v>
      </c>
      <c r="L50" s="29" t="s">
        <v>463</v>
      </c>
      <c r="M50" s="206"/>
      <c r="N50" s="339" t="s">
        <v>790</v>
      </c>
      <c r="O50" s="339">
        <v>4</v>
      </c>
      <c r="P50" s="340">
        <v>3</v>
      </c>
      <c r="Q50" s="428">
        <v>0.5</v>
      </c>
      <c r="R50" s="337">
        <v>1</v>
      </c>
      <c r="S50" s="337">
        <v>0.5</v>
      </c>
      <c r="T50" s="435">
        <v>1</v>
      </c>
      <c r="U50" s="172">
        <f t="shared" si="0"/>
        <v>3</v>
      </c>
      <c r="V50" s="349">
        <f t="shared" si="3"/>
        <v>1</v>
      </c>
      <c r="W50" s="341">
        <v>45660</v>
      </c>
      <c r="X50" s="341">
        <v>46022</v>
      </c>
      <c r="Y50" s="342">
        <f t="shared" si="2"/>
        <v>362</v>
      </c>
      <c r="Z50" s="343">
        <v>3</v>
      </c>
      <c r="AA50" s="339" t="s">
        <v>352</v>
      </c>
      <c r="AB50" s="339" t="s">
        <v>367</v>
      </c>
      <c r="AC50" s="29" t="s">
        <v>374</v>
      </c>
      <c r="AD50" s="29" t="s">
        <v>469</v>
      </c>
      <c r="AE50" s="343" t="s">
        <v>351</v>
      </c>
      <c r="AF50" s="29" t="s">
        <v>599</v>
      </c>
      <c r="AG50" s="368">
        <v>50000000</v>
      </c>
      <c r="AH50" s="339" t="s">
        <v>56</v>
      </c>
      <c r="AI50" s="206" t="s">
        <v>49</v>
      </c>
      <c r="AJ50" s="206"/>
      <c r="AK50" s="206"/>
      <c r="AL50" s="206"/>
      <c r="AM50" s="644"/>
      <c r="AN50" s="644"/>
      <c r="AO50" s="644"/>
      <c r="AP50" s="602"/>
      <c r="AQ50" s="433">
        <v>171558349</v>
      </c>
      <c r="AR50" s="470" t="s">
        <v>1058</v>
      </c>
      <c r="AS50" s="339" t="s">
        <v>262</v>
      </c>
      <c r="AT50" s="596"/>
      <c r="AU50" s="596"/>
      <c r="AV50" s="596"/>
      <c r="AW50" s="596"/>
      <c r="AX50" s="596"/>
      <c r="AY50" s="596"/>
      <c r="AZ50" s="596"/>
      <c r="BA50" s="596"/>
      <c r="BB50" s="602"/>
      <c r="BC50" s="596"/>
      <c r="BD50" s="602"/>
      <c r="BE50" s="596"/>
      <c r="BF50" s="433">
        <v>0</v>
      </c>
      <c r="BG50" s="339"/>
      <c r="BH50" s="339">
        <v>0</v>
      </c>
      <c r="BI50" s="339"/>
      <c r="BJ50" s="29" t="s">
        <v>916</v>
      </c>
      <c r="BK50" s="676"/>
    </row>
    <row r="51" spans="1:63" ht="25.8" customHeight="1">
      <c r="A51" s="29" t="s">
        <v>258</v>
      </c>
      <c r="B51" s="29" t="s">
        <v>198</v>
      </c>
      <c r="C51" s="334" t="s">
        <v>358</v>
      </c>
      <c r="D51" s="29" t="s">
        <v>212</v>
      </c>
      <c r="E51" s="29" t="s">
        <v>262</v>
      </c>
      <c r="F51" s="335">
        <v>2024130010147</v>
      </c>
      <c r="G51" s="336" t="s">
        <v>474</v>
      </c>
      <c r="H51" s="29" t="s">
        <v>459</v>
      </c>
      <c r="I51" s="29" t="s">
        <v>241</v>
      </c>
      <c r="J51" s="337">
        <v>1.5</v>
      </c>
      <c r="K51" s="338">
        <v>0.3</v>
      </c>
      <c r="L51" s="29" t="s">
        <v>463</v>
      </c>
      <c r="M51" s="206"/>
      <c r="N51" s="339" t="s">
        <v>790</v>
      </c>
      <c r="O51" s="339">
        <v>4</v>
      </c>
      <c r="P51" s="340">
        <v>3</v>
      </c>
      <c r="Q51" s="428">
        <v>0.5</v>
      </c>
      <c r="R51" s="337">
        <v>1</v>
      </c>
      <c r="S51" s="337">
        <v>0.5</v>
      </c>
      <c r="T51" s="435">
        <v>1</v>
      </c>
      <c r="U51" s="172">
        <f t="shared" si="0"/>
        <v>3</v>
      </c>
      <c r="V51" s="349">
        <f t="shared" si="3"/>
        <v>1</v>
      </c>
      <c r="W51" s="341">
        <v>45660</v>
      </c>
      <c r="X51" s="341">
        <v>46022</v>
      </c>
      <c r="Y51" s="342">
        <f t="shared" si="2"/>
        <v>362</v>
      </c>
      <c r="Z51" s="343">
        <v>3</v>
      </c>
      <c r="AA51" s="339" t="s">
        <v>352</v>
      </c>
      <c r="AB51" s="339" t="s">
        <v>367</v>
      </c>
      <c r="AC51" s="29" t="s">
        <v>374</v>
      </c>
      <c r="AD51" s="29" t="s">
        <v>469</v>
      </c>
      <c r="AE51" s="343" t="s">
        <v>351</v>
      </c>
      <c r="AF51" s="29" t="s">
        <v>598</v>
      </c>
      <c r="AG51" s="368">
        <v>70000000</v>
      </c>
      <c r="AH51" s="339" t="s">
        <v>53</v>
      </c>
      <c r="AI51" s="206" t="s">
        <v>49</v>
      </c>
      <c r="AJ51" s="206"/>
      <c r="AK51" s="206"/>
      <c r="AL51" s="206"/>
      <c r="AM51" s="644"/>
      <c r="AN51" s="644"/>
      <c r="AO51" s="644"/>
      <c r="AP51" s="602"/>
      <c r="AQ51" s="206"/>
      <c r="AR51" s="470" t="s">
        <v>1062</v>
      </c>
      <c r="AS51" s="339" t="s">
        <v>262</v>
      </c>
      <c r="AT51" s="596"/>
      <c r="AU51" s="596"/>
      <c r="AV51" s="596"/>
      <c r="AW51" s="596"/>
      <c r="AX51" s="596"/>
      <c r="AY51" s="596"/>
      <c r="AZ51" s="596"/>
      <c r="BA51" s="596"/>
      <c r="BB51" s="602"/>
      <c r="BC51" s="596"/>
      <c r="BD51" s="602"/>
      <c r="BE51" s="596"/>
      <c r="BF51" s="433">
        <v>0</v>
      </c>
      <c r="BG51" s="339"/>
      <c r="BH51" s="339">
        <v>0</v>
      </c>
      <c r="BI51" s="339"/>
      <c r="BJ51" s="29" t="s">
        <v>916</v>
      </c>
      <c r="BK51" s="676"/>
    </row>
    <row r="52" spans="1:63" ht="25.8" customHeight="1">
      <c r="A52" s="29" t="s">
        <v>258</v>
      </c>
      <c r="B52" s="29" t="s">
        <v>198</v>
      </c>
      <c r="C52" s="334" t="s">
        <v>358</v>
      </c>
      <c r="D52" s="29" t="s">
        <v>212</v>
      </c>
      <c r="E52" s="29" t="s">
        <v>262</v>
      </c>
      <c r="F52" s="335">
        <v>2024130010147</v>
      </c>
      <c r="G52" s="336" t="s">
        <v>474</v>
      </c>
      <c r="H52" s="29" t="s">
        <v>459</v>
      </c>
      <c r="I52" s="353" t="s">
        <v>241</v>
      </c>
      <c r="J52" s="337">
        <v>1.5</v>
      </c>
      <c r="K52" s="338">
        <v>0.3</v>
      </c>
      <c r="L52" s="29" t="s">
        <v>465</v>
      </c>
      <c r="M52" s="206"/>
      <c r="N52" s="339" t="s">
        <v>791</v>
      </c>
      <c r="O52" s="339">
        <v>4</v>
      </c>
      <c r="P52" s="340">
        <v>1</v>
      </c>
      <c r="Q52" s="428">
        <v>0.5</v>
      </c>
      <c r="R52" s="460">
        <v>0.5</v>
      </c>
      <c r="S52" s="337">
        <v>0</v>
      </c>
      <c r="T52" s="435">
        <v>0</v>
      </c>
      <c r="U52" s="460">
        <f t="shared" si="0"/>
        <v>1</v>
      </c>
      <c r="V52" s="349">
        <f t="shared" si="3"/>
        <v>1</v>
      </c>
      <c r="W52" s="341">
        <v>45660</v>
      </c>
      <c r="X52" s="341">
        <v>46022</v>
      </c>
      <c r="Y52" s="342">
        <f t="shared" si="2"/>
        <v>362</v>
      </c>
      <c r="Z52" s="343">
        <v>3</v>
      </c>
      <c r="AA52" s="339" t="s">
        <v>352</v>
      </c>
      <c r="AB52" s="339" t="s">
        <v>367</v>
      </c>
      <c r="AC52" s="29" t="s">
        <v>374</v>
      </c>
      <c r="AD52" s="29" t="s">
        <v>469</v>
      </c>
      <c r="AE52" s="343" t="s">
        <v>351</v>
      </c>
      <c r="AF52" s="29" t="s">
        <v>596</v>
      </c>
      <c r="AG52" s="368">
        <v>22500000</v>
      </c>
      <c r="AH52" s="206" t="s">
        <v>55</v>
      </c>
      <c r="AI52" s="206" t="s">
        <v>49</v>
      </c>
      <c r="AJ52" s="206"/>
      <c r="AK52" s="206"/>
      <c r="AL52" s="345" t="s">
        <v>849</v>
      </c>
      <c r="AM52" s="644"/>
      <c r="AN52" s="644"/>
      <c r="AO52" s="644"/>
      <c r="AP52" s="602"/>
      <c r="AQ52" s="206"/>
      <c r="AR52" s="469" t="s">
        <v>1059</v>
      </c>
      <c r="AS52" s="339" t="s">
        <v>262</v>
      </c>
      <c r="AT52" s="596"/>
      <c r="AU52" s="596"/>
      <c r="AV52" s="596"/>
      <c r="AW52" s="596"/>
      <c r="AX52" s="596"/>
      <c r="AY52" s="596"/>
      <c r="AZ52" s="596"/>
      <c r="BA52" s="596"/>
      <c r="BB52" s="602"/>
      <c r="BC52" s="596"/>
      <c r="BD52" s="602"/>
      <c r="BE52" s="596"/>
      <c r="BF52" s="433">
        <v>300783673</v>
      </c>
      <c r="BG52" s="339"/>
      <c r="BH52" s="339">
        <v>300783673</v>
      </c>
      <c r="BI52" s="339"/>
      <c r="BJ52" s="29" t="s">
        <v>916</v>
      </c>
      <c r="BK52" s="676"/>
    </row>
    <row r="53" spans="1:63" ht="25.8" customHeight="1">
      <c r="A53" s="29" t="s">
        <v>258</v>
      </c>
      <c r="B53" s="29" t="s">
        <v>198</v>
      </c>
      <c r="C53" s="334" t="s">
        <v>358</v>
      </c>
      <c r="D53" s="29" t="s">
        <v>212</v>
      </c>
      <c r="E53" s="29" t="s">
        <v>262</v>
      </c>
      <c r="F53" s="335">
        <v>2024130010147</v>
      </c>
      <c r="G53" s="336" t="s">
        <v>474</v>
      </c>
      <c r="H53" s="29" t="s">
        <v>459</v>
      </c>
      <c r="I53" s="29" t="s">
        <v>241</v>
      </c>
      <c r="J53" s="337">
        <v>1.5</v>
      </c>
      <c r="K53" s="338">
        <v>0.3</v>
      </c>
      <c r="L53" s="29" t="s">
        <v>465</v>
      </c>
      <c r="M53" s="206"/>
      <c r="N53" s="339" t="s">
        <v>791</v>
      </c>
      <c r="O53" s="339">
        <v>4</v>
      </c>
      <c r="P53" s="340">
        <v>1</v>
      </c>
      <c r="Q53" s="428">
        <v>0.5</v>
      </c>
      <c r="R53" s="460">
        <v>0.5</v>
      </c>
      <c r="S53" s="337">
        <v>0</v>
      </c>
      <c r="T53" s="435">
        <v>0</v>
      </c>
      <c r="U53" s="460">
        <f t="shared" si="0"/>
        <v>1</v>
      </c>
      <c r="V53" s="349">
        <f t="shared" si="3"/>
        <v>1</v>
      </c>
      <c r="W53" s="341">
        <v>45660</v>
      </c>
      <c r="X53" s="341">
        <v>46022</v>
      </c>
      <c r="Y53" s="342">
        <f t="shared" si="2"/>
        <v>362</v>
      </c>
      <c r="Z53" s="343">
        <v>3</v>
      </c>
      <c r="AA53" s="339" t="s">
        <v>352</v>
      </c>
      <c r="AB53" s="339" t="s">
        <v>367</v>
      </c>
      <c r="AC53" s="29" t="s">
        <v>374</v>
      </c>
      <c r="AD53" s="29" t="s">
        <v>469</v>
      </c>
      <c r="AE53" s="343" t="s">
        <v>351</v>
      </c>
      <c r="AF53" s="29" t="s">
        <v>600</v>
      </c>
      <c r="AG53" s="368">
        <v>12000000</v>
      </c>
      <c r="AH53" s="339" t="s">
        <v>56</v>
      </c>
      <c r="AI53" s="206" t="s">
        <v>49</v>
      </c>
      <c r="AJ53" s="206"/>
      <c r="AK53" s="206"/>
      <c r="AL53" s="206"/>
      <c r="AM53" s="644"/>
      <c r="AN53" s="644"/>
      <c r="AO53" s="644"/>
      <c r="AP53" s="602"/>
      <c r="AQ53" s="206"/>
      <c r="AR53" s="469" t="s">
        <v>1061</v>
      </c>
      <c r="AS53" s="339" t="s">
        <v>262</v>
      </c>
      <c r="AT53" s="596"/>
      <c r="AU53" s="596"/>
      <c r="AV53" s="596"/>
      <c r="AW53" s="596"/>
      <c r="AX53" s="596"/>
      <c r="AY53" s="596"/>
      <c r="AZ53" s="596"/>
      <c r="BA53" s="596"/>
      <c r="BB53" s="602"/>
      <c r="BC53" s="596"/>
      <c r="BD53" s="602"/>
      <c r="BE53" s="596"/>
      <c r="BF53" s="433">
        <v>0</v>
      </c>
      <c r="BG53" s="339"/>
      <c r="BH53" s="339">
        <v>0</v>
      </c>
      <c r="BI53" s="339"/>
      <c r="BJ53" s="29" t="s">
        <v>916</v>
      </c>
      <c r="BK53" s="676"/>
    </row>
    <row r="54" spans="1:63" ht="25.8" customHeight="1">
      <c r="A54" s="29" t="s">
        <v>258</v>
      </c>
      <c r="B54" s="29" t="s">
        <v>198</v>
      </c>
      <c r="C54" s="334" t="s">
        <v>358</v>
      </c>
      <c r="D54" s="29" t="s">
        <v>212</v>
      </c>
      <c r="E54" s="29" t="s">
        <v>262</v>
      </c>
      <c r="F54" s="335">
        <v>2024130010147</v>
      </c>
      <c r="G54" s="336" t="s">
        <v>474</v>
      </c>
      <c r="H54" s="29" t="s">
        <v>459</v>
      </c>
      <c r="I54" s="29" t="s">
        <v>241</v>
      </c>
      <c r="J54" s="337">
        <v>1.5</v>
      </c>
      <c r="K54" s="338">
        <v>0.3</v>
      </c>
      <c r="L54" s="29" t="s">
        <v>462</v>
      </c>
      <c r="M54" s="206"/>
      <c r="N54" s="339" t="s">
        <v>792</v>
      </c>
      <c r="O54" s="339">
        <v>4</v>
      </c>
      <c r="P54" s="340">
        <v>2</v>
      </c>
      <c r="Q54" s="428">
        <v>0.5</v>
      </c>
      <c r="R54" s="460">
        <v>1</v>
      </c>
      <c r="S54" s="337">
        <v>0</v>
      </c>
      <c r="T54" s="435">
        <v>0</v>
      </c>
      <c r="U54" s="460">
        <f t="shared" si="0"/>
        <v>1.5</v>
      </c>
      <c r="V54" s="349">
        <f t="shared" si="3"/>
        <v>0.75</v>
      </c>
      <c r="W54" s="341">
        <v>45660</v>
      </c>
      <c r="X54" s="341">
        <v>46022</v>
      </c>
      <c r="Y54" s="342">
        <f t="shared" si="2"/>
        <v>362</v>
      </c>
      <c r="Z54" s="343">
        <v>3</v>
      </c>
      <c r="AA54" s="339" t="s">
        <v>352</v>
      </c>
      <c r="AB54" s="339" t="s">
        <v>367</v>
      </c>
      <c r="AC54" s="29" t="s">
        <v>470</v>
      </c>
      <c r="AD54" s="29" t="s">
        <v>471</v>
      </c>
      <c r="AE54" s="343" t="s">
        <v>351</v>
      </c>
      <c r="AF54" s="29" t="s">
        <v>596</v>
      </c>
      <c r="AG54" s="368">
        <v>64500000</v>
      </c>
      <c r="AH54" s="206" t="s">
        <v>55</v>
      </c>
      <c r="AI54" s="206" t="s">
        <v>49</v>
      </c>
      <c r="AJ54" s="206"/>
      <c r="AK54" s="206"/>
      <c r="AL54" s="345" t="s">
        <v>849</v>
      </c>
      <c r="AM54" s="644"/>
      <c r="AN54" s="644"/>
      <c r="AO54" s="644"/>
      <c r="AP54" s="602"/>
      <c r="AQ54" s="206"/>
      <c r="AR54" s="469"/>
      <c r="AS54" s="339" t="s">
        <v>262</v>
      </c>
      <c r="AT54" s="596"/>
      <c r="AU54" s="596"/>
      <c r="AV54" s="596"/>
      <c r="AW54" s="596"/>
      <c r="AX54" s="596"/>
      <c r="AY54" s="596"/>
      <c r="AZ54" s="596"/>
      <c r="BA54" s="596"/>
      <c r="BB54" s="602"/>
      <c r="BC54" s="596"/>
      <c r="BD54" s="602"/>
      <c r="BE54" s="596"/>
      <c r="BF54" s="433"/>
      <c r="BG54" s="339"/>
      <c r="BH54" s="339"/>
      <c r="BI54" s="339"/>
      <c r="BJ54" s="29" t="s">
        <v>916</v>
      </c>
      <c r="BK54" s="676"/>
    </row>
    <row r="55" spans="1:63" ht="25.8" customHeight="1">
      <c r="A55" s="29" t="s">
        <v>258</v>
      </c>
      <c r="B55" s="29" t="s">
        <v>198</v>
      </c>
      <c r="C55" s="334" t="s">
        <v>358</v>
      </c>
      <c r="D55" s="29" t="s">
        <v>212</v>
      </c>
      <c r="E55" s="29" t="s">
        <v>262</v>
      </c>
      <c r="F55" s="335">
        <v>2024130010147</v>
      </c>
      <c r="G55" s="336" t="s">
        <v>474</v>
      </c>
      <c r="H55" s="29" t="s">
        <v>459</v>
      </c>
      <c r="I55" s="29" t="s">
        <v>241</v>
      </c>
      <c r="J55" s="337">
        <v>1.5</v>
      </c>
      <c r="K55" s="338">
        <v>0.3</v>
      </c>
      <c r="L55" s="29" t="s">
        <v>464</v>
      </c>
      <c r="M55" s="206"/>
      <c r="N55" s="339" t="s">
        <v>793</v>
      </c>
      <c r="O55" s="339">
        <v>4</v>
      </c>
      <c r="P55" s="340">
        <v>1</v>
      </c>
      <c r="Q55" s="428">
        <v>0.5</v>
      </c>
      <c r="R55" s="337">
        <v>0.5</v>
      </c>
      <c r="S55" s="337">
        <v>0</v>
      </c>
      <c r="T55" s="435">
        <v>0</v>
      </c>
      <c r="U55" s="460">
        <f t="shared" si="0"/>
        <v>1</v>
      </c>
      <c r="V55" s="349">
        <f t="shared" si="3"/>
        <v>1</v>
      </c>
      <c r="W55" s="341">
        <v>45660</v>
      </c>
      <c r="X55" s="341">
        <v>46022</v>
      </c>
      <c r="Y55" s="342">
        <f t="shared" si="2"/>
        <v>362</v>
      </c>
      <c r="Z55" s="343">
        <v>3</v>
      </c>
      <c r="AA55" s="339" t="s">
        <v>352</v>
      </c>
      <c r="AB55" s="339" t="s">
        <v>367</v>
      </c>
      <c r="AC55" s="29" t="s">
        <v>470</v>
      </c>
      <c r="AD55" s="29" t="s">
        <v>471</v>
      </c>
      <c r="AE55" s="343" t="s">
        <v>351</v>
      </c>
      <c r="AF55" s="29" t="s">
        <v>596</v>
      </c>
      <c r="AG55" s="368">
        <v>36000000</v>
      </c>
      <c r="AH55" s="206" t="s">
        <v>55</v>
      </c>
      <c r="AI55" s="206" t="s">
        <v>49</v>
      </c>
      <c r="AJ55" s="206"/>
      <c r="AK55" s="206"/>
      <c r="AL55" s="345" t="s">
        <v>850</v>
      </c>
      <c r="AM55" s="644"/>
      <c r="AN55" s="644"/>
      <c r="AO55" s="644"/>
      <c r="AP55" s="602"/>
      <c r="AQ55" s="206"/>
      <c r="AR55" s="469"/>
      <c r="AS55" s="339" t="s">
        <v>262</v>
      </c>
      <c r="AT55" s="596"/>
      <c r="AU55" s="596"/>
      <c r="AV55" s="596"/>
      <c r="AW55" s="596"/>
      <c r="AX55" s="596"/>
      <c r="AY55" s="596"/>
      <c r="AZ55" s="596"/>
      <c r="BA55" s="596"/>
      <c r="BB55" s="602"/>
      <c r="BC55" s="596"/>
      <c r="BD55" s="602"/>
      <c r="BE55" s="596"/>
      <c r="BF55" s="339"/>
      <c r="BG55" s="339"/>
      <c r="BH55" s="339"/>
      <c r="BI55" s="339"/>
      <c r="BJ55" s="29" t="s">
        <v>916</v>
      </c>
      <c r="BK55" s="676"/>
    </row>
    <row r="56" spans="1:63" ht="25.8" customHeight="1">
      <c r="A56" s="29" t="s">
        <v>258</v>
      </c>
      <c r="B56" s="29" t="s">
        <v>198</v>
      </c>
      <c r="C56" s="334" t="s">
        <v>361</v>
      </c>
      <c r="D56" s="29" t="s">
        <v>212</v>
      </c>
      <c r="E56" s="29" t="s">
        <v>262</v>
      </c>
      <c r="F56" s="335">
        <v>2024130010147</v>
      </c>
      <c r="G56" s="336" t="s">
        <v>474</v>
      </c>
      <c r="H56" s="29" t="s">
        <v>459</v>
      </c>
      <c r="I56" s="29" t="s">
        <v>241</v>
      </c>
      <c r="J56" s="337">
        <v>1.5</v>
      </c>
      <c r="K56" s="338">
        <v>0.3</v>
      </c>
      <c r="L56" s="29" t="s">
        <v>464</v>
      </c>
      <c r="M56" s="206"/>
      <c r="N56" s="339" t="s">
        <v>794</v>
      </c>
      <c r="O56" s="339">
        <v>4</v>
      </c>
      <c r="P56" s="340">
        <v>1</v>
      </c>
      <c r="Q56" s="428">
        <v>0.5</v>
      </c>
      <c r="R56" s="337">
        <v>0.5</v>
      </c>
      <c r="S56" s="337">
        <v>0</v>
      </c>
      <c r="T56" s="435">
        <v>0</v>
      </c>
      <c r="U56" s="460">
        <f t="shared" si="0"/>
        <v>1</v>
      </c>
      <c r="V56" s="349">
        <f t="shared" si="3"/>
        <v>1</v>
      </c>
      <c r="W56" s="341">
        <v>45660</v>
      </c>
      <c r="X56" s="341">
        <v>46022</v>
      </c>
      <c r="Y56" s="342">
        <f t="shared" si="2"/>
        <v>362</v>
      </c>
      <c r="Z56" s="343">
        <v>3</v>
      </c>
      <c r="AA56" s="339" t="s">
        <v>352</v>
      </c>
      <c r="AB56" s="339" t="s">
        <v>367</v>
      </c>
      <c r="AC56" s="29" t="s">
        <v>470</v>
      </c>
      <c r="AD56" s="29" t="s">
        <v>471</v>
      </c>
      <c r="AE56" s="343" t="s">
        <v>351</v>
      </c>
      <c r="AF56" s="29" t="s">
        <v>683</v>
      </c>
      <c r="AG56" s="368">
        <v>50000000</v>
      </c>
      <c r="AH56" s="339" t="s">
        <v>53</v>
      </c>
      <c r="AI56" s="206" t="s">
        <v>49</v>
      </c>
      <c r="AJ56" s="206"/>
      <c r="AK56" s="206"/>
      <c r="AL56" s="206"/>
      <c r="AM56" s="644"/>
      <c r="AN56" s="644"/>
      <c r="AO56" s="644"/>
      <c r="AP56" s="602"/>
      <c r="AQ56" s="206"/>
      <c r="AR56" s="469"/>
      <c r="AS56" s="339" t="s">
        <v>262</v>
      </c>
      <c r="AT56" s="596"/>
      <c r="AU56" s="596"/>
      <c r="AV56" s="596"/>
      <c r="AW56" s="596"/>
      <c r="AX56" s="596"/>
      <c r="AY56" s="596"/>
      <c r="AZ56" s="596"/>
      <c r="BA56" s="596"/>
      <c r="BB56" s="602"/>
      <c r="BC56" s="596"/>
      <c r="BD56" s="602"/>
      <c r="BE56" s="596"/>
      <c r="BF56" s="339"/>
      <c r="BG56" s="339"/>
      <c r="BH56" s="339"/>
      <c r="BI56" s="339"/>
      <c r="BJ56" s="29" t="s">
        <v>916</v>
      </c>
      <c r="BK56" s="676"/>
    </row>
    <row r="57" spans="1:63" ht="25.8" customHeight="1">
      <c r="A57" s="29" t="s">
        <v>258</v>
      </c>
      <c r="B57" s="29" t="s">
        <v>198</v>
      </c>
      <c r="C57" s="334" t="s">
        <v>361</v>
      </c>
      <c r="D57" s="29" t="s">
        <v>211</v>
      </c>
      <c r="E57" s="354" t="s">
        <v>262</v>
      </c>
      <c r="F57" s="374">
        <v>2024130010147</v>
      </c>
      <c r="G57" s="336" t="s">
        <v>474</v>
      </c>
      <c r="H57" s="29" t="s">
        <v>459</v>
      </c>
      <c r="I57" s="29" t="s">
        <v>241</v>
      </c>
      <c r="J57" s="337">
        <v>1.5</v>
      </c>
      <c r="K57" s="338">
        <v>0.7</v>
      </c>
      <c r="L57" s="336" t="s">
        <v>466</v>
      </c>
      <c r="M57" s="206"/>
      <c r="N57" s="339" t="s">
        <v>795</v>
      </c>
      <c r="O57" s="339">
        <v>7187</v>
      </c>
      <c r="P57" s="340">
        <v>5400</v>
      </c>
      <c r="Q57" s="428">
        <v>300</v>
      </c>
      <c r="R57" s="337">
        <v>1543</v>
      </c>
      <c r="S57" s="337">
        <v>434</v>
      </c>
      <c r="T57" s="435">
        <v>3049</v>
      </c>
      <c r="U57" s="172">
        <f t="shared" si="0"/>
        <v>5326</v>
      </c>
      <c r="V57" s="349">
        <f t="shared" si="3"/>
        <v>0.98629629629629634</v>
      </c>
      <c r="W57" s="341">
        <v>45660</v>
      </c>
      <c r="X57" s="341">
        <v>46022</v>
      </c>
      <c r="Y57" s="342">
        <f t="shared" si="2"/>
        <v>362</v>
      </c>
      <c r="Z57" s="343">
        <v>3</v>
      </c>
      <c r="AA57" s="339" t="s">
        <v>352</v>
      </c>
      <c r="AB57" s="339" t="s">
        <v>367</v>
      </c>
      <c r="AC57" s="29" t="s">
        <v>472</v>
      </c>
      <c r="AD57" s="29" t="s">
        <v>473</v>
      </c>
      <c r="AE57" s="343" t="s">
        <v>351</v>
      </c>
      <c r="AF57" s="29" t="s">
        <v>596</v>
      </c>
      <c r="AG57" s="368">
        <v>64500000</v>
      </c>
      <c r="AH57" s="206" t="s">
        <v>55</v>
      </c>
      <c r="AI57" s="206" t="s">
        <v>49</v>
      </c>
      <c r="AJ57" s="206"/>
      <c r="AK57" s="206"/>
      <c r="AL57" s="345" t="s">
        <v>851</v>
      </c>
      <c r="AM57" s="644"/>
      <c r="AN57" s="644"/>
      <c r="AO57" s="644"/>
      <c r="AP57" s="602"/>
      <c r="AQ57" s="206"/>
      <c r="AR57" s="469"/>
      <c r="AS57" s="339" t="s">
        <v>262</v>
      </c>
      <c r="AT57" s="596"/>
      <c r="AU57" s="596"/>
      <c r="AV57" s="596"/>
      <c r="AW57" s="596"/>
      <c r="AX57" s="596"/>
      <c r="AY57" s="596"/>
      <c r="AZ57" s="596"/>
      <c r="BA57" s="596"/>
      <c r="BB57" s="602"/>
      <c r="BC57" s="596"/>
      <c r="BD57" s="602"/>
      <c r="BE57" s="596"/>
      <c r="BF57" s="339"/>
      <c r="BG57" s="339"/>
      <c r="BH57" s="339"/>
      <c r="BI57" s="339"/>
      <c r="BJ57" s="29" t="s">
        <v>916</v>
      </c>
      <c r="BK57" s="676" t="s">
        <v>1035</v>
      </c>
    </row>
    <row r="58" spans="1:63" ht="25.8" customHeight="1">
      <c r="A58" s="29" t="s">
        <v>258</v>
      </c>
      <c r="B58" s="29" t="s">
        <v>198</v>
      </c>
      <c r="C58" s="334" t="s">
        <v>361</v>
      </c>
      <c r="D58" s="29" t="s">
        <v>211</v>
      </c>
      <c r="E58" s="354" t="s">
        <v>262</v>
      </c>
      <c r="F58" s="374">
        <v>2024130010147</v>
      </c>
      <c r="G58" s="336" t="s">
        <v>474</v>
      </c>
      <c r="H58" s="29" t="s">
        <v>459</v>
      </c>
      <c r="I58" s="29" t="s">
        <v>241</v>
      </c>
      <c r="J58" s="337">
        <v>1.5</v>
      </c>
      <c r="K58" s="338">
        <v>0.7</v>
      </c>
      <c r="L58" s="336" t="s">
        <v>466</v>
      </c>
      <c r="M58" s="206"/>
      <c r="N58" s="339" t="s">
        <v>795</v>
      </c>
      <c r="O58" s="339">
        <v>7187</v>
      </c>
      <c r="P58" s="340">
        <v>5400</v>
      </c>
      <c r="Q58" s="428">
        <v>300</v>
      </c>
      <c r="R58" s="337">
        <v>1543</v>
      </c>
      <c r="S58" s="337">
        <v>434</v>
      </c>
      <c r="T58" s="435">
        <v>3049</v>
      </c>
      <c r="U58" s="172">
        <f t="shared" si="0"/>
        <v>5326</v>
      </c>
      <c r="V58" s="349">
        <f t="shared" si="3"/>
        <v>0.98629629629629634</v>
      </c>
      <c r="W58" s="341">
        <v>45660</v>
      </c>
      <c r="X58" s="341">
        <v>46022</v>
      </c>
      <c r="Y58" s="342">
        <f t="shared" si="2"/>
        <v>362</v>
      </c>
      <c r="Z58" s="343">
        <v>3</v>
      </c>
      <c r="AA58" s="339" t="s">
        <v>352</v>
      </c>
      <c r="AB58" s="339" t="s">
        <v>367</v>
      </c>
      <c r="AC58" s="29" t="s">
        <v>472</v>
      </c>
      <c r="AD58" s="29" t="s">
        <v>473</v>
      </c>
      <c r="AE58" s="343" t="s">
        <v>351</v>
      </c>
      <c r="AF58" s="29" t="s">
        <v>680</v>
      </c>
      <c r="AG58" s="368">
        <v>221391147</v>
      </c>
      <c r="AH58" s="339" t="s">
        <v>52</v>
      </c>
      <c r="AI58" s="29" t="s">
        <v>681</v>
      </c>
      <c r="AJ58" s="206"/>
      <c r="AK58" s="206"/>
      <c r="AL58" s="206"/>
      <c r="AM58" s="644"/>
      <c r="AN58" s="644"/>
      <c r="AO58" s="644"/>
      <c r="AP58" s="602"/>
      <c r="AQ58" s="206"/>
      <c r="AR58" s="469"/>
      <c r="AS58" s="339" t="s">
        <v>262</v>
      </c>
      <c r="AT58" s="596"/>
      <c r="AU58" s="596"/>
      <c r="AV58" s="596"/>
      <c r="AW58" s="596"/>
      <c r="AX58" s="596"/>
      <c r="AY58" s="596"/>
      <c r="AZ58" s="596"/>
      <c r="BA58" s="596"/>
      <c r="BB58" s="602"/>
      <c r="BC58" s="596"/>
      <c r="BD58" s="602"/>
      <c r="BE58" s="596"/>
      <c r="BF58" s="339"/>
      <c r="BG58" s="339"/>
      <c r="BH58" s="339"/>
      <c r="BI58" s="339"/>
      <c r="BJ58" s="29" t="s">
        <v>916</v>
      </c>
      <c r="BK58" s="676"/>
    </row>
    <row r="59" spans="1:63" ht="25.8" customHeight="1">
      <c r="A59" s="29" t="s">
        <v>258</v>
      </c>
      <c r="B59" s="29" t="s">
        <v>198</v>
      </c>
      <c r="C59" s="334" t="s">
        <v>361</v>
      </c>
      <c r="D59" s="29" t="s">
        <v>211</v>
      </c>
      <c r="E59" s="29" t="s">
        <v>262</v>
      </c>
      <c r="F59" s="335">
        <v>2024130010147</v>
      </c>
      <c r="G59" s="336" t="s">
        <v>474</v>
      </c>
      <c r="H59" s="29" t="s">
        <v>459</v>
      </c>
      <c r="I59" s="29" t="s">
        <v>241</v>
      </c>
      <c r="J59" s="337">
        <v>1.5</v>
      </c>
      <c r="K59" s="338">
        <v>0.7</v>
      </c>
      <c r="L59" s="336" t="s">
        <v>296</v>
      </c>
      <c r="M59" s="206"/>
      <c r="N59" s="339" t="s">
        <v>663</v>
      </c>
      <c r="O59" s="339">
        <v>2</v>
      </c>
      <c r="P59" s="340">
        <v>3</v>
      </c>
      <c r="Q59" s="428"/>
      <c r="R59" s="337">
        <v>2</v>
      </c>
      <c r="S59" s="337">
        <v>0</v>
      </c>
      <c r="T59" s="435"/>
      <c r="U59" s="460">
        <f t="shared" si="0"/>
        <v>2</v>
      </c>
      <c r="V59" s="349">
        <f t="shared" si="3"/>
        <v>0.66666666666666663</v>
      </c>
      <c r="W59" s="341">
        <v>45660</v>
      </c>
      <c r="X59" s="341">
        <v>46022</v>
      </c>
      <c r="Y59" s="342">
        <f t="shared" si="2"/>
        <v>362</v>
      </c>
      <c r="Z59" s="343">
        <v>3</v>
      </c>
      <c r="AA59" s="339" t="s">
        <v>352</v>
      </c>
      <c r="AB59" s="339" t="s">
        <v>367</v>
      </c>
      <c r="AC59" s="29" t="s">
        <v>472</v>
      </c>
      <c r="AD59" s="29" t="s">
        <v>473</v>
      </c>
      <c r="AE59" s="343" t="s">
        <v>351</v>
      </c>
      <c r="AF59" s="29" t="s">
        <v>666</v>
      </c>
      <c r="AG59" s="368">
        <v>125000000</v>
      </c>
      <c r="AH59" s="339" t="s">
        <v>52</v>
      </c>
      <c r="AI59" s="206" t="s">
        <v>49</v>
      </c>
      <c r="AJ59" s="206"/>
      <c r="AK59" s="206"/>
      <c r="AL59" s="206"/>
      <c r="AM59" s="644"/>
      <c r="AN59" s="644"/>
      <c r="AO59" s="644"/>
      <c r="AP59" s="602"/>
      <c r="AQ59" s="206"/>
      <c r="AR59" s="469"/>
      <c r="AS59" s="339" t="s">
        <v>262</v>
      </c>
      <c r="AT59" s="597"/>
      <c r="AU59" s="597"/>
      <c r="AV59" s="597"/>
      <c r="AW59" s="597"/>
      <c r="AX59" s="597"/>
      <c r="AY59" s="597"/>
      <c r="AZ59" s="597"/>
      <c r="BA59" s="597"/>
      <c r="BB59" s="602"/>
      <c r="BC59" s="597"/>
      <c r="BD59" s="602"/>
      <c r="BE59" s="597"/>
      <c r="BF59" s="339"/>
      <c r="BG59" s="339"/>
      <c r="BH59" s="339"/>
      <c r="BI59" s="339"/>
      <c r="BJ59" s="29" t="s">
        <v>916</v>
      </c>
      <c r="BK59" s="676"/>
    </row>
    <row r="60" spans="1:63" ht="25.8" customHeight="1">
      <c r="A60" s="29"/>
      <c r="B60" s="29"/>
      <c r="C60" s="334"/>
      <c r="D60" s="29"/>
      <c r="E60" s="663" t="s">
        <v>769</v>
      </c>
      <c r="F60" s="664"/>
      <c r="G60" s="664"/>
      <c r="H60" s="664"/>
      <c r="I60" s="664"/>
      <c r="J60" s="664"/>
      <c r="K60" s="664"/>
      <c r="L60" s="664"/>
      <c r="M60" s="664"/>
      <c r="N60" s="664"/>
      <c r="O60" s="664"/>
      <c r="P60" s="664"/>
      <c r="Q60" s="664"/>
      <c r="R60" s="665"/>
      <c r="S60" s="357"/>
      <c r="T60" s="357"/>
      <c r="U60" s="357"/>
      <c r="V60" s="371">
        <f>AVERAGE(V48:V59)</f>
        <v>0.9074382716049384</v>
      </c>
      <c r="W60" s="341"/>
      <c r="X60" s="341"/>
      <c r="Y60" s="342"/>
      <c r="Z60" s="343"/>
      <c r="AA60" s="339"/>
      <c r="AB60" s="339"/>
      <c r="AC60" s="29"/>
      <c r="AD60" s="29"/>
      <c r="AE60" s="343"/>
      <c r="AF60" s="29"/>
      <c r="AG60" s="368"/>
      <c r="AH60" s="339"/>
      <c r="AI60" s="206"/>
      <c r="AJ60" s="206"/>
      <c r="AK60" s="206"/>
      <c r="AL60" s="206"/>
      <c r="AM60" s="375">
        <f>SUM(AM48)</f>
        <v>844891147</v>
      </c>
      <c r="AN60" s="375">
        <f>SUM(AN48)</f>
        <v>899558349</v>
      </c>
      <c r="AO60" s="375">
        <f>SUM(AO48)</f>
        <v>899558349</v>
      </c>
      <c r="AP60" s="375">
        <f>SUM(AP48)</f>
        <v>899558349</v>
      </c>
      <c r="AQ60" s="375">
        <f>SUM(AQ48:AQ59)</f>
        <v>664751388</v>
      </c>
      <c r="AR60" s="339"/>
      <c r="AS60" s="339"/>
      <c r="AT60" s="376">
        <f>SUM(AT48:AT59)</f>
        <v>0</v>
      </c>
      <c r="AU60" s="377">
        <f>+AU59</f>
        <v>0</v>
      </c>
      <c r="AV60" s="376">
        <f>SUM(AV48:AV59)</f>
        <v>0</v>
      </c>
      <c r="AW60" s="377">
        <f>+AW59</f>
        <v>0</v>
      </c>
      <c r="AX60" s="376">
        <f>SUM(AX48:AX59)</f>
        <v>0</v>
      </c>
      <c r="AY60" s="377">
        <f>+AY59</f>
        <v>0</v>
      </c>
      <c r="AZ60" s="376">
        <f>SUM(AZ48:AZ59)</f>
        <v>0</v>
      </c>
      <c r="BA60" s="377">
        <f>+BA59</f>
        <v>0</v>
      </c>
      <c r="BB60" s="399">
        <f>SUM(BB48:BB59)</f>
        <v>316500000</v>
      </c>
      <c r="BC60" s="377">
        <f>+BC48</f>
        <v>0.35183932243176813</v>
      </c>
      <c r="BD60" s="399">
        <f>SUM(BD48:BD59)</f>
        <v>316500000</v>
      </c>
      <c r="BE60" s="377">
        <f>+BE48</f>
        <v>0.35183932243176813</v>
      </c>
      <c r="BF60" s="399">
        <f>SUM(BF48:BF59)</f>
        <v>463191173</v>
      </c>
      <c r="BG60" s="434">
        <f>+BF60/AQ60</f>
        <v>0.69678857594201815</v>
      </c>
      <c r="BH60" s="399">
        <f>SUM(BH48:BH59)</f>
        <v>463191173</v>
      </c>
      <c r="BI60" s="339"/>
      <c r="BJ60" s="367"/>
    </row>
    <row r="61" spans="1:63" ht="25.8" customHeight="1">
      <c r="A61" s="29" t="s">
        <v>257</v>
      </c>
      <c r="B61" s="29" t="s">
        <v>199</v>
      </c>
      <c r="C61" s="334" t="s">
        <v>361</v>
      </c>
      <c r="D61" s="29" t="s">
        <v>213</v>
      </c>
      <c r="E61" s="29" t="s">
        <v>263</v>
      </c>
      <c r="F61" s="378">
        <v>2024130010130</v>
      </c>
      <c r="G61" s="29" t="s">
        <v>277</v>
      </c>
      <c r="H61" s="29" t="s">
        <v>300</v>
      </c>
      <c r="I61" s="29" t="s">
        <v>242</v>
      </c>
      <c r="J61" s="337">
        <v>6435</v>
      </c>
      <c r="K61" s="379">
        <v>0.4</v>
      </c>
      <c r="L61" s="380" t="s">
        <v>293</v>
      </c>
      <c r="M61" s="339" t="s">
        <v>632</v>
      </c>
      <c r="N61" s="339" t="s">
        <v>636</v>
      </c>
      <c r="O61" s="339">
        <v>6762</v>
      </c>
      <c r="P61" s="340">
        <v>6700</v>
      </c>
      <c r="Q61" s="206">
        <v>1239</v>
      </c>
      <c r="R61" s="428">
        <f>6435-Q61</f>
        <v>5196</v>
      </c>
      <c r="S61" s="337">
        <v>0</v>
      </c>
      <c r="T61" s="435">
        <v>168</v>
      </c>
      <c r="U61" s="172">
        <f t="shared" si="0"/>
        <v>6603</v>
      </c>
      <c r="V61" s="349">
        <f>+U61/P61</f>
        <v>0.98552238805970149</v>
      </c>
      <c r="W61" s="341">
        <v>45660</v>
      </c>
      <c r="X61" s="341">
        <v>46022</v>
      </c>
      <c r="Y61" s="342">
        <f t="shared" si="2"/>
        <v>362</v>
      </c>
      <c r="Z61" s="29">
        <v>6700</v>
      </c>
      <c r="AA61" s="339" t="s">
        <v>352</v>
      </c>
      <c r="AB61" s="206" t="s">
        <v>360</v>
      </c>
      <c r="AC61" s="339" t="s">
        <v>383</v>
      </c>
      <c r="AD61" s="339" t="s">
        <v>384</v>
      </c>
      <c r="AE61" s="343" t="s">
        <v>351</v>
      </c>
      <c r="AF61" s="380" t="s">
        <v>687</v>
      </c>
      <c r="AG61" s="368">
        <v>300000000</v>
      </c>
      <c r="AH61" s="339" t="s">
        <v>53</v>
      </c>
      <c r="AI61" s="206" t="s">
        <v>49</v>
      </c>
      <c r="AJ61" s="206"/>
      <c r="AK61" s="206"/>
      <c r="AL61" s="206"/>
      <c r="AM61" s="598">
        <v>4532675119</v>
      </c>
      <c r="AN61" s="598">
        <v>8250277366.1000004</v>
      </c>
      <c r="AO61" s="598">
        <v>8250277366.1000004</v>
      </c>
      <c r="AP61" s="598">
        <v>8250277366.1000004</v>
      </c>
      <c r="AQ61" s="433">
        <v>3945698260</v>
      </c>
      <c r="AR61" s="470" t="s">
        <v>1056</v>
      </c>
      <c r="AS61" s="339" t="s">
        <v>263</v>
      </c>
      <c r="AT61" s="615">
        <v>0</v>
      </c>
      <c r="AU61" s="615">
        <f>+AT61/AN61</f>
        <v>0</v>
      </c>
      <c r="AV61" s="615" t="s">
        <v>978</v>
      </c>
      <c r="AW61" s="615"/>
      <c r="AX61" s="621">
        <v>3924975844</v>
      </c>
      <c r="AY61" s="592">
        <f>+AX61/AO61</f>
        <v>0.47573865336061794</v>
      </c>
      <c r="AZ61" s="621">
        <v>3565563054</v>
      </c>
      <c r="BA61" s="592">
        <f>+AZ61/AO61</f>
        <v>0.43217493131209506</v>
      </c>
      <c r="BB61" s="601">
        <v>5081308003.8899994</v>
      </c>
      <c r="BC61" s="592">
        <f>+BB61/AP61</f>
        <v>0.61589541519765789</v>
      </c>
      <c r="BD61" s="601">
        <v>5081308003.8899994</v>
      </c>
      <c r="BE61" s="592">
        <f>+BD61/AP61</f>
        <v>0.61589541519765789</v>
      </c>
      <c r="BF61" s="433">
        <v>1834385109.03</v>
      </c>
      <c r="BG61" s="339"/>
      <c r="BH61" s="433">
        <v>1830385109.03</v>
      </c>
      <c r="BI61" s="339"/>
      <c r="BJ61" s="29" t="s">
        <v>917</v>
      </c>
      <c r="BK61" s="676" t="s">
        <v>1036</v>
      </c>
    </row>
    <row r="62" spans="1:63" ht="25.8" customHeight="1">
      <c r="A62" s="29" t="s">
        <v>257</v>
      </c>
      <c r="B62" s="29" t="s">
        <v>199</v>
      </c>
      <c r="C62" s="334" t="s">
        <v>361</v>
      </c>
      <c r="D62" s="29" t="s">
        <v>213</v>
      </c>
      <c r="E62" s="29" t="s">
        <v>263</v>
      </c>
      <c r="F62" s="378">
        <v>2024130010130</v>
      </c>
      <c r="G62" s="29" t="s">
        <v>277</v>
      </c>
      <c r="H62" s="29" t="s">
        <v>300</v>
      </c>
      <c r="I62" s="29" t="s">
        <v>242</v>
      </c>
      <c r="J62" s="337">
        <v>6435</v>
      </c>
      <c r="K62" s="379">
        <v>0.4</v>
      </c>
      <c r="L62" s="380" t="s">
        <v>292</v>
      </c>
      <c r="M62" s="339" t="s">
        <v>632</v>
      </c>
      <c r="N62" s="339" t="s">
        <v>796</v>
      </c>
      <c r="O62" s="339">
        <v>50</v>
      </c>
      <c r="P62" s="340">
        <v>55</v>
      </c>
      <c r="Q62" s="206">
        <v>1</v>
      </c>
      <c r="R62" s="428">
        <v>0</v>
      </c>
      <c r="S62" s="337">
        <v>0</v>
      </c>
      <c r="T62" s="435">
        <v>15</v>
      </c>
      <c r="U62" s="172">
        <f t="shared" si="0"/>
        <v>16</v>
      </c>
      <c r="V62" s="349">
        <f t="shared" ref="V62:V86" si="4">+U62/P62</f>
        <v>0.29090909090909089</v>
      </c>
      <c r="W62" s="341">
        <v>45660</v>
      </c>
      <c r="X62" s="341">
        <v>46022</v>
      </c>
      <c r="Y62" s="342">
        <f t="shared" si="2"/>
        <v>362</v>
      </c>
      <c r="Z62" s="29">
        <v>6700</v>
      </c>
      <c r="AA62" s="339" t="s">
        <v>352</v>
      </c>
      <c r="AB62" s="206" t="s">
        <v>360</v>
      </c>
      <c r="AC62" s="339" t="s">
        <v>383</v>
      </c>
      <c r="AD62" s="339" t="s">
        <v>384</v>
      </c>
      <c r="AE62" s="343" t="s">
        <v>351</v>
      </c>
      <c r="AF62" s="380" t="s">
        <v>596</v>
      </c>
      <c r="AG62" s="368">
        <v>150000000</v>
      </c>
      <c r="AH62" s="206" t="s">
        <v>55</v>
      </c>
      <c r="AI62" s="206" t="s">
        <v>49</v>
      </c>
      <c r="AJ62" s="206"/>
      <c r="AK62" s="206"/>
      <c r="AL62" s="345" t="s">
        <v>852</v>
      </c>
      <c r="AM62" s="599"/>
      <c r="AN62" s="599"/>
      <c r="AO62" s="599"/>
      <c r="AP62" s="599"/>
      <c r="AQ62" s="433">
        <v>2500000000</v>
      </c>
      <c r="AR62" s="470" t="s">
        <v>1058</v>
      </c>
      <c r="AS62" s="339" t="s">
        <v>263</v>
      </c>
      <c r="AT62" s="616"/>
      <c r="AU62" s="616"/>
      <c r="AV62" s="616"/>
      <c r="AW62" s="616"/>
      <c r="AX62" s="622"/>
      <c r="AY62" s="593"/>
      <c r="AZ62" s="622"/>
      <c r="BA62" s="593"/>
      <c r="BB62" s="602"/>
      <c r="BC62" s="593"/>
      <c r="BD62" s="602"/>
      <c r="BE62" s="593"/>
      <c r="BF62" s="433">
        <v>150000000</v>
      </c>
      <c r="BG62" s="339"/>
      <c r="BH62" s="433">
        <v>75000000</v>
      </c>
      <c r="BI62" s="339"/>
      <c r="BJ62" s="29" t="s">
        <v>917</v>
      </c>
      <c r="BK62" s="676"/>
    </row>
    <row r="63" spans="1:63" ht="25.8" customHeight="1">
      <c r="A63" s="29" t="s">
        <v>257</v>
      </c>
      <c r="B63" s="29" t="s">
        <v>199</v>
      </c>
      <c r="C63" s="334" t="s">
        <v>361</v>
      </c>
      <c r="D63" s="29" t="s">
        <v>213</v>
      </c>
      <c r="E63" s="29" t="s">
        <v>263</v>
      </c>
      <c r="F63" s="378">
        <v>2024130010130</v>
      </c>
      <c r="G63" s="29" t="s">
        <v>277</v>
      </c>
      <c r="H63" s="29" t="s">
        <v>300</v>
      </c>
      <c r="I63" s="29" t="s">
        <v>242</v>
      </c>
      <c r="J63" s="337">
        <v>6435</v>
      </c>
      <c r="K63" s="379">
        <v>0.4</v>
      </c>
      <c r="L63" s="339" t="s">
        <v>291</v>
      </c>
      <c r="M63" s="339" t="s">
        <v>632</v>
      </c>
      <c r="N63" s="339" t="s">
        <v>636</v>
      </c>
      <c r="O63" s="339">
        <v>6762</v>
      </c>
      <c r="P63" s="340">
        <v>6700</v>
      </c>
      <c r="Q63" s="206">
        <v>1239</v>
      </c>
      <c r="R63" s="428">
        <f>6435-Q63</f>
        <v>5196</v>
      </c>
      <c r="S63" s="337">
        <v>0</v>
      </c>
      <c r="T63" s="435">
        <v>168</v>
      </c>
      <c r="U63" s="172">
        <f t="shared" si="0"/>
        <v>6603</v>
      </c>
      <c r="V63" s="349">
        <f t="shared" si="4"/>
        <v>0.98552238805970149</v>
      </c>
      <c r="W63" s="341">
        <v>45660</v>
      </c>
      <c r="X63" s="341">
        <v>46022</v>
      </c>
      <c r="Y63" s="342">
        <f t="shared" si="2"/>
        <v>362</v>
      </c>
      <c r="Z63" s="29">
        <v>6700</v>
      </c>
      <c r="AA63" s="339" t="s">
        <v>352</v>
      </c>
      <c r="AB63" s="206" t="s">
        <v>360</v>
      </c>
      <c r="AC63" s="339" t="s">
        <v>385</v>
      </c>
      <c r="AD63" s="339" t="s">
        <v>386</v>
      </c>
      <c r="AE63" s="343" t="s">
        <v>351</v>
      </c>
      <c r="AF63" s="380" t="s">
        <v>596</v>
      </c>
      <c r="AG63" s="368">
        <v>700000000</v>
      </c>
      <c r="AH63" s="206" t="s">
        <v>55</v>
      </c>
      <c r="AI63" s="380" t="s">
        <v>681</v>
      </c>
      <c r="AJ63" s="206"/>
      <c r="AK63" s="206"/>
      <c r="AL63" s="345" t="s">
        <v>853</v>
      </c>
      <c r="AM63" s="599"/>
      <c r="AN63" s="599"/>
      <c r="AO63" s="599"/>
      <c r="AP63" s="599"/>
      <c r="AQ63" s="433">
        <v>221275119</v>
      </c>
      <c r="AR63" s="470" t="s">
        <v>1059</v>
      </c>
      <c r="AS63" s="339" t="s">
        <v>263</v>
      </c>
      <c r="AT63" s="616"/>
      <c r="AU63" s="616"/>
      <c r="AV63" s="616"/>
      <c r="AW63" s="616"/>
      <c r="AX63" s="622"/>
      <c r="AY63" s="593"/>
      <c r="AZ63" s="622"/>
      <c r="BA63" s="593"/>
      <c r="BB63" s="602"/>
      <c r="BC63" s="593"/>
      <c r="BD63" s="602"/>
      <c r="BE63" s="593"/>
      <c r="BF63" s="433">
        <v>2020682917</v>
      </c>
      <c r="BG63" s="339"/>
      <c r="BH63" s="433">
        <v>2020682917</v>
      </c>
      <c r="BI63" s="339"/>
      <c r="BJ63" s="29" t="s">
        <v>917</v>
      </c>
      <c r="BK63" s="676"/>
    </row>
    <row r="64" spans="1:63" ht="25.8" customHeight="1">
      <c r="A64" s="29" t="s">
        <v>257</v>
      </c>
      <c r="B64" s="29" t="s">
        <v>199</v>
      </c>
      <c r="C64" s="334" t="s">
        <v>361</v>
      </c>
      <c r="D64" s="29" t="s">
        <v>213</v>
      </c>
      <c r="E64" s="29" t="s">
        <v>263</v>
      </c>
      <c r="F64" s="378">
        <v>2024130010130</v>
      </c>
      <c r="G64" s="29" t="s">
        <v>277</v>
      </c>
      <c r="H64" s="29" t="s">
        <v>300</v>
      </c>
      <c r="I64" s="29" t="s">
        <v>242</v>
      </c>
      <c r="J64" s="337">
        <v>6435</v>
      </c>
      <c r="K64" s="379">
        <v>0.4</v>
      </c>
      <c r="L64" s="339" t="s">
        <v>291</v>
      </c>
      <c r="M64" s="339" t="s">
        <v>632</v>
      </c>
      <c r="N64" s="339" t="s">
        <v>636</v>
      </c>
      <c r="O64" s="339">
        <v>6762</v>
      </c>
      <c r="P64" s="340">
        <v>6700</v>
      </c>
      <c r="Q64" s="206">
        <v>1239</v>
      </c>
      <c r="R64" s="428">
        <f>6435-Q64</f>
        <v>5196</v>
      </c>
      <c r="S64" s="337">
        <v>0</v>
      </c>
      <c r="T64" s="435">
        <v>168</v>
      </c>
      <c r="U64" s="172">
        <f t="shared" si="0"/>
        <v>6603</v>
      </c>
      <c r="V64" s="349">
        <f t="shared" si="4"/>
        <v>0.98552238805970149</v>
      </c>
      <c r="W64" s="341">
        <v>45660</v>
      </c>
      <c r="X64" s="341">
        <v>46022</v>
      </c>
      <c r="Y64" s="342">
        <f t="shared" si="2"/>
        <v>362</v>
      </c>
      <c r="Z64" s="29">
        <v>6700</v>
      </c>
      <c r="AA64" s="339" t="s">
        <v>352</v>
      </c>
      <c r="AB64" s="206" t="s">
        <v>360</v>
      </c>
      <c r="AC64" s="339" t="s">
        <v>385</v>
      </c>
      <c r="AD64" s="339" t="s">
        <v>386</v>
      </c>
      <c r="AE64" s="343" t="s">
        <v>351</v>
      </c>
      <c r="AF64" s="380" t="s">
        <v>688</v>
      </c>
      <c r="AG64" s="368">
        <v>905700000</v>
      </c>
      <c r="AH64" s="206" t="s">
        <v>50</v>
      </c>
      <c r="AI64" s="206" t="s">
        <v>49</v>
      </c>
      <c r="AJ64" s="206"/>
      <c r="AK64" s="206"/>
      <c r="AL64" s="206"/>
      <c r="AM64" s="599"/>
      <c r="AN64" s="599"/>
      <c r="AO64" s="599"/>
      <c r="AP64" s="599"/>
      <c r="AQ64" s="433">
        <v>536207084.88999999</v>
      </c>
      <c r="AR64" s="470" t="s">
        <v>1060</v>
      </c>
      <c r="AS64" s="339" t="s">
        <v>263</v>
      </c>
      <c r="AT64" s="616"/>
      <c r="AU64" s="616"/>
      <c r="AV64" s="616"/>
      <c r="AW64" s="616"/>
      <c r="AX64" s="622"/>
      <c r="AY64" s="593"/>
      <c r="AZ64" s="622"/>
      <c r="BA64" s="593"/>
      <c r="BB64" s="602"/>
      <c r="BC64" s="593"/>
      <c r="BD64" s="602"/>
      <c r="BE64" s="593"/>
      <c r="BF64" s="433">
        <v>3147838054</v>
      </c>
      <c r="BG64" s="339"/>
      <c r="BH64" s="433">
        <v>3147838054</v>
      </c>
      <c r="BI64" s="339"/>
      <c r="BJ64" s="29" t="s">
        <v>917</v>
      </c>
      <c r="BK64" s="676"/>
    </row>
    <row r="65" spans="1:63" ht="25.8" customHeight="1">
      <c r="A65" s="29" t="s">
        <v>257</v>
      </c>
      <c r="B65" s="29" t="s">
        <v>199</v>
      </c>
      <c r="C65" s="334" t="s">
        <v>361</v>
      </c>
      <c r="D65" s="29" t="s">
        <v>213</v>
      </c>
      <c r="E65" s="29" t="s">
        <v>263</v>
      </c>
      <c r="F65" s="378">
        <v>2024130010130</v>
      </c>
      <c r="G65" s="29" t="s">
        <v>277</v>
      </c>
      <c r="H65" s="29" t="s">
        <v>300</v>
      </c>
      <c r="I65" s="29" t="s">
        <v>242</v>
      </c>
      <c r="J65" s="337">
        <v>6435</v>
      </c>
      <c r="K65" s="379">
        <v>0.4</v>
      </c>
      <c r="L65" s="339" t="s">
        <v>689</v>
      </c>
      <c r="M65" s="339" t="s">
        <v>632</v>
      </c>
      <c r="N65" s="339" t="s">
        <v>636</v>
      </c>
      <c r="O65" s="339">
        <v>6762</v>
      </c>
      <c r="P65" s="340">
        <v>6700</v>
      </c>
      <c r="Q65" s="206">
        <v>1239</v>
      </c>
      <c r="R65" s="428">
        <f>6435-Q65</f>
        <v>5196</v>
      </c>
      <c r="S65" s="337">
        <v>0</v>
      </c>
      <c r="T65" s="435">
        <v>168</v>
      </c>
      <c r="U65" s="172">
        <f t="shared" si="0"/>
        <v>6603</v>
      </c>
      <c r="V65" s="349">
        <f t="shared" si="4"/>
        <v>0.98552238805970149</v>
      </c>
      <c r="W65" s="341">
        <v>45660</v>
      </c>
      <c r="X65" s="341">
        <v>46022</v>
      </c>
      <c r="Y65" s="342">
        <f t="shared" si="2"/>
        <v>362</v>
      </c>
      <c r="Z65" s="29">
        <v>6700</v>
      </c>
      <c r="AA65" s="339" t="s">
        <v>352</v>
      </c>
      <c r="AB65" s="206" t="s">
        <v>360</v>
      </c>
      <c r="AC65" s="339" t="s">
        <v>387</v>
      </c>
      <c r="AD65" s="206" t="s">
        <v>388</v>
      </c>
      <c r="AE65" s="343" t="s">
        <v>351</v>
      </c>
      <c r="AF65" s="380" t="s">
        <v>596</v>
      </c>
      <c r="AG65" s="368">
        <v>700000000</v>
      </c>
      <c r="AH65" s="206" t="s">
        <v>55</v>
      </c>
      <c r="AI65" s="206" t="s">
        <v>49</v>
      </c>
      <c r="AJ65" s="206"/>
      <c r="AK65" s="206"/>
      <c r="AL65" s="345" t="s">
        <v>854</v>
      </c>
      <c r="AM65" s="599"/>
      <c r="AN65" s="599"/>
      <c r="AO65" s="599"/>
      <c r="AP65" s="599"/>
      <c r="AQ65" s="433">
        <v>32524214</v>
      </c>
      <c r="AR65" s="470" t="s">
        <v>1061</v>
      </c>
      <c r="AS65" s="339" t="s">
        <v>263</v>
      </c>
      <c r="AT65" s="616"/>
      <c r="AU65" s="616"/>
      <c r="AV65" s="616"/>
      <c r="AW65" s="616"/>
      <c r="AX65" s="622"/>
      <c r="AY65" s="593"/>
      <c r="AZ65" s="622"/>
      <c r="BA65" s="593"/>
      <c r="BB65" s="602"/>
      <c r="BC65" s="593"/>
      <c r="BD65" s="602"/>
      <c r="BE65" s="593"/>
      <c r="BF65" s="433">
        <v>0</v>
      </c>
      <c r="BG65" s="339"/>
      <c r="BH65" s="433">
        <v>0</v>
      </c>
      <c r="BI65" s="339"/>
      <c r="BJ65" s="29" t="s">
        <v>917</v>
      </c>
      <c r="BK65" s="676"/>
    </row>
    <row r="66" spans="1:63" ht="25.8" customHeight="1">
      <c r="A66" s="29" t="s">
        <v>257</v>
      </c>
      <c r="B66" s="29" t="s">
        <v>199</v>
      </c>
      <c r="C66" s="334" t="s">
        <v>361</v>
      </c>
      <c r="D66" s="29" t="s">
        <v>213</v>
      </c>
      <c r="E66" s="29" t="s">
        <v>263</v>
      </c>
      <c r="F66" s="378">
        <v>2024130010130</v>
      </c>
      <c r="G66" s="29" t="s">
        <v>277</v>
      </c>
      <c r="H66" s="29" t="s">
        <v>300</v>
      </c>
      <c r="I66" s="29" t="s">
        <v>242</v>
      </c>
      <c r="J66" s="337">
        <v>6435</v>
      </c>
      <c r="K66" s="379">
        <v>0.4</v>
      </c>
      <c r="L66" s="339" t="s">
        <v>689</v>
      </c>
      <c r="M66" s="339" t="s">
        <v>632</v>
      </c>
      <c r="N66" s="339" t="s">
        <v>636</v>
      </c>
      <c r="O66" s="339">
        <v>6762</v>
      </c>
      <c r="P66" s="340">
        <v>6700</v>
      </c>
      <c r="Q66" s="206">
        <v>1239</v>
      </c>
      <c r="R66" s="428">
        <f>6435-Q66</f>
        <v>5196</v>
      </c>
      <c r="S66" s="337">
        <v>0</v>
      </c>
      <c r="T66" s="435">
        <v>168</v>
      </c>
      <c r="U66" s="172">
        <f t="shared" si="0"/>
        <v>6603</v>
      </c>
      <c r="V66" s="349">
        <f t="shared" si="4"/>
        <v>0.98552238805970149</v>
      </c>
      <c r="W66" s="341">
        <v>45660</v>
      </c>
      <c r="X66" s="341">
        <v>46022</v>
      </c>
      <c r="Y66" s="342">
        <f t="shared" si="2"/>
        <v>362</v>
      </c>
      <c r="Z66" s="29">
        <v>6700</v>
      </c>
      <c r="AA66" s="339" t="s">
        <v>352</v>
      </c>
      <c r="AB66" s="206" t="s">
        <v>360</v>
      </c>
      <c r="AC66" s="339" t="s">
        <v>387</v>
      </c>
      <c r="AD66" s="206" t="s">
        <v>388</v>
      </c>
      <c r="AE66" s="343" t="s">
        <v>351</v>
      </c>
      <c r="AF66" s="380" t="s">
        <v>688</v>
      </c>
      <c r="AG66" s="368">
        <v>905700000</v>
      </c>
      <c r="AH66" s="206" t="s">
        <v>50</v>
      </c>
      <c r="AI66" s="206" t="s">
        <v>49</v>
      </c>
      <c r="AJ66" s="206"/>
      <c r="AK66" s="206"/>
      <c r="AL66" s="206"/>
      <c r="AM66" s="599"/>
      <c r="AN66" s="599"/>
      <c r="AO66" s="599"/>
      <c r="AP66" s="599"/>
      <c r="AQ66" s="433">
        <v>1032894</v>
      </c>
      <c r="AR66" s="470" t="s">
        <v>1063</v>
      </c>
      <c r="AS66" s="339" t="s">
        <v>263</v>
      </c>
      <c r="AT66" s="616"/>
      <c r="AU66" s="616"/>
      <c r="AV66" s="616"/>
      <c r="AW66" s="616"/>
      <c r="AX66" s="622"/>
      <c r="AY66" s="593"/>
      <c r="AZ66" s="622"/>
      <c r="BA66" s="593"/>
      <c r="BB66" s="602"/>
      <c r="BC66" s="593"/>
      <c r="BD66" s="602"/>
      <c r="BE66" s="593"/>
      <c r="BF66" s="433">
        <v>418257064.74000001</v>
      </c>
      <c r="BG66" s="339"/>
      <c r="BH66" s="433">
        <v>418257064.74000001</v>
      </c>
      <c r="BI66" s="339"/>
      <c r="BJ66" s="29" t="s">
        <v>917</v>
      </c>
      <c r="BK66" s="676"/>
    </row>
    <row r="67" spans="1:63" ht="25.8" customHeight="1">
      <c r="A67" s="29" t="s">
        <v>257</v>
      </c>
      <c r="B67" s="29" t="s">
        <v>199</v>
      </c>
      <c r="C67" s="334" t="s">
        <v>361</v>
      </c>
      <c r="D67" s="29" t="s">
        <v>213</v>
      </c>
      <c r="E67" s="29" t="s">
        <v>263</v>
      </c>
      <c r="F67" s="378">
        <v>2024130010130</v>
      </c>
      <c r="G67" s="29" t="s">
        <v>277</v>
      </c>
      <c r="H67" s="29" t="s">
        <v>300</v>
      </c>
      <c r="I67" s="29" t="s">
        <v>242</v>
      </c>
      <c r="J67" s="337">
        <v>6435</v>
      </c>
      <c r="K67" s="379">
        <v>0.4</v>
      </c>
      <c r="L67" s="380" t="s">
        <v>690</v>
      </c>
      <c r="M67" s="339" t="s">
        <v>632</v>
      </c>
      <c r="N67" s="339" t="s">
        <v>797</v>
      </c>
      <c r="O67" s="339">
        <v>100</v>
      </c>
      <c r="P67" s="340">
        <v>100</v>
      </c>
      <c r="Q67" s="206">
        <v>6</v>
      </c>
      <c r="R67" s="428">
        <v>44</v>
      </c>
      <c r="S67" s="337">
        <v>0</v>
      </c>
      <c r="T67" s="435">
        <v>0</v>
      </c>
      <c r="U67" s="172">
        <f t="shared" si="0"/>
        <v>50</v>
      </c>
      <c r="V67" s="349">
        <f t="shared" si="4"/>
        <v>0.5</v>
      </c>
      <c r="W67" s="341">
        <v>45660</v>
      </c>
      <c r="X67" s="341">
        <v>46022</v>
      </c>
      <c r="Y67" s="342">
        <f t="shared" si="2"/>
        <v>362</v>
      </c>
      <c r="Z67" s="29">
        <v>6700</v>
      </c>
      <c r="AA67" s="339" t="s">
        <v>352</v>
      </c>
      <c r="AB67" s="206" t="s">
        <v>360</v>
      </c>
      <c r="AC67" s="339" t="s">
        <v>389</v>
      </c>
      <c r="AD67" s="339" t="s">
        <v>390</v>
      </c>
      <c r="AE67" s="343" t="s">
        <v>351</v>
      </c>
      <c r="AF67" s="380" t="s">
        <v>596</v>
      </c>
      <c r="AG67" s="368">
        <v>250000000</v>
      </c>
      <c r="AH67" s="206" t="s">
        <v>55</v>
      </c>
      <c r="AI67" s="206" t="s">
        <v>49</v>
      </c>
      <c r="AJ67" s="206"/>
      <c r="AK67" s="206"/>
      <c r="AL67" s="345" t="s">
        <v>855</v>
      </c>
      <c r="AM67" s="599"/>
      <c r="AN67" s="599"/>
      <c r="AO67" s="599"/>
      <c r="AP67" s="599"/>
      <c r="AQ67" s="433">
        <v>3147838054.21</v>
      </c>
      <c r="AR67" s="470" t="s">
        <v>1064</v>
      </c>
      <c r="AS67" s="339" t="s">
        <v>263</v>
      </c>
      <c r="AT67" s="616"/>
      <c r="AU67" s="616"/>
      <c r="AV67" s="616"/>
      <c r="AW67" s="616"/>
      <c r="AX67" s="622"/>
      <c r="AY67" s="593"/>
      <c r="AZ67" s="622"/>
      <c r="BA67" s="593"/>
      <c r="BB67" s="602"/>
      <c r="BC67" s="593"/>
      <c r="BD67" s="602"/>
      <c r="BE67" s="593"/>
      <c r="BF67" s="433">
        <v>0</v>
      </c>
      <c r="BG67" s="339"/>
      <c r="BH67" s="433">
        <v>0</v>
      </c>
      <c r="BI67" s="339"/>
      <c r="BJ67" s="29" t="s">
        <v>917</v>
      </c>
      <c r="BK67" s="676"/>
    </row>
    <row r="68" spans="1:63" ht="25.8" customHeight="1">
      <c r="A68" s="29" t="s">
        <v>257</v>
      </c>
      <c r="B68" s="29" t="s">
        <v>199</v>
      </c>
      <c r="C68" s="334" t="s">
        <v>361</v>
      </c>
      <c r="D68" s="29" t="s">
        <v>213</v>
      </c>
      <c r="E68" s="29" t="s">
        <v>263</v>
      </c>
      <c r="F68" s="378">
        <v>2024130010130</v>
      </c>
      <c r="G68" s="29" t="s">
        <v>277</v>
      </c>
      <c r="H68" s="29" t="s">
        <v>300</v>
      </c>
      <c r="I68" s="29" t="s">
        <v>242</v>
      </c>
      <c r="J68" s="337">
        <v>6435</v>
      </c>
      <c r="K68" s="379">
        <v>0.4</v>
      </c>
      <c r="L68" s="339" t="s">
        <v>690</v>
      </c>
      <c r="M68" s="339" t="s">
        <v>632</v>
      </c>
      <c r="N68" s="339" t="s">
        <v>636</v>
      </c>
      <c r="O68" s="339">
        <v>6762</v>
      </c>
      <c r="P68" s="340">
        <v>6700</v>
      </c>
      <c r="Q68" s="206">
        <v>1239</v>
      </c>
      <c r="R68" s="428">
        <f>6435-Q68</f>
        <v>5196</v>
      </c>
      <c r="S68" s="337">
        <v>0</v>
      </c>
      <c r="T68" s="435">
        <v>168</v>
      </c>
      <c r="U68" s="172">
        <f t="shared" si="0"/>
        <v>6603</v>
      </c>
      <c r="V68" s="349">
        <f t="shared" si="4"/>
        <v>0.98552238805970149</v>
      </c>
      <c r="W68" s="341">
        <v>45660</v>
      </c>
      <c r="X68" s="341">
        <v>46022</v>
      </c>
      <c r="Y68" s="342">
        <f t="shared" si="2"/>
        <v>362</v>
      </c>
      <c r="Z68" s="29">
        <v>6700</v>
      </c>
      <c r="AA68" s="339" t="s">
        <v>352</v>
      </c>
      <c r="AB68" s="206" t="s">
        <v>360</v>
      </c>
      <c r="AC68" s="339" t="s">
        <v>391</v>
      </c>
      <c r="AD68" s="350" t="s">
        <v>392</v>
      </c>
      <c r="AE68" s="343" t="s">
        <v>351</v>
      </c>
      <c r="AF68" s="380" t="s">
        <v>601</v>
      </c>
      <c r="AG68" s="368">
        <v>40000000</v>
      </c>
      <c r="AH68" s="339" t="s">
        <v>52</v>
      </c>
      <c r="AI68" s="206" t="s">
        <v>49</v>
      </c>
      <c r="AJ68" s="206"/>
      <c r="AK68" s="206"/>
      <c r="AL68" s="206"/>
      <c r="AM68" s="599"/>
      <c r="AN68" s="599"/>
      <c r="AO68" s="599"/>
      <c r="AP68" s="599"/>
      <c r="AQ68" s="433"/>
      <c r="AR68" s="429"/>
      <c r="AS68" s="339" t="s">
        <v>263</v>
      </c>
      <c r="AT68" s="616"/>
      <c r="AU68" s="616"/>
      <c r="AV68" s="616"/>
      <c r="AW68" s="616"/>
      <c r="AX68" s="622"/>
      <c r="AY68" s="593"/>
      <c r="AZ68" s="622"/>
      <c r="BA68" s="593"/>
      <c r="BB68" s="602"/>
      <c r="BC68" s="593"/>
      <c r="BD68" s="602"/>
      <c r="BE68" s="593"/>
      <c r="BF68" s="339"/>
      <c r="BG68" s="339"/>
      <c r="BH68" s="339"/>
      <c r="BI68" s="339"/>
      <c r="BJ68" s="29" t="s">
        <v>917</v>
      </c>
      <c r="BK68" s="676"/>
    </row>
    <row r="69" spans="1:63" ht="25.8" customHeight="1">
      <c r="A69" s="29" t="s">
        <v>257</v>
      </c>
      <c r="B69" s="29" t="s">
        <v>199</v>
      </c>
      <c r="C69" s="334" t="s">
        <v>361</v>
      </c>
      <c r="D69" s="29" t="s">
        <v>817</v>
      </c>
      <c r="E69" s="29" t="s">
        <v>263</v>
      </c>
      <c r="F69" s="378">
        <v>2024130010130</v>
      </c>
      <c r="G69" s="29" t="s">
        <v>277</v>
      </c>
      <c r="H69" s="29" t="s">
        <v>285</v>
      </c>
      <c r="I69" s="339" t="s">
        <v>413</v>
      </c>
      <c r="J69" s="353">
        <v>4</v>
      </c>
      <c r="K69" s="379">
        <v>0.1</v>
      </c>
      <c r="L69" s="339" t="s">
        <v>691</v>
      </c>
      <c r="M69" s="339" t="s">
        <v>632</v>
      </c>
      <c r="N69" s="339" t="s">
        <v>693</v>
      </c>
      <c r="O69" s="339">
        <v>3</v>
      </c>
      <c r="P69" s="340">
        <v>4</v>
      </c>
      <c r="Q69" s="206">
        <v>0</v>
      </c>
      <c r="R69" s="428">
        <v>2</v>
      </c>
      <c r="S69" s="353">
        <v>0</v>
      </c>
      <c r="T69" s="435">
        <v>0</v>
      </c>
      <c r="U69" s="172">
        <f t="shared" si="0"/>
        <v>2</v>
      </c>
      <c r="V69" s="349">
        <f t="shared" si="4"/>
        <v>0.5</v>
      </c>
      <c r="W69" s="341">
        <v>45660</v>
      </c>
      <c r="X69" s="341">
        <v>46022</v>
      </c>
      <c r="Y69" s="342">
        <f t="shared" ref="Y69" si="5">+X69-W69</f>
        <v>362</v>
      </c>
      <c r="Z69" s="206" t="s">
        <v>350</v>
      </c>
      <c r="AA69" s="339" t="s">
        <v>352</v>
      </c>
      <c r="AB69" s="206" t="s">
        <v>360</v>
      </c>
      <c r="AC69" s="29" t="s">
        <v>414</v>
      </c>
      <c r="AD69" s="339" t="s">
        <v>415</v>
      </c>
      <c r="AE69" s="343" t="s">
        <v>351</v>
      </c>
      <c r="AF69" s="380" t="s">
        <v>596</v>
      </c>
      <c r="AG69" s="368">
        <v>150000000</v>
      </c>
      <c r="AH69" s="206" t="s">
        <v>55</v>
      </c>
      <c r="AI69" s="206" t="s">
        <v>49</v>
      </c>
      <c r="AJ69" s="206"/>
      <c r="AK69" s="206"/>
      <c r="AL69" s="345" t="s">
        <v>856</v>
      </c>
      <c r="AM69" s="599"/>
      <c r="AN69" s="599"/>
      <c r="AO69" s="599"/>
      <c r="AP69" s="599"/>
      <c r="AQ69" s="347"/>
      <c r="AR69" s="429"/>
      <c r="AS69" s="339" t="s">
        <v>263</v>
      </c>
      <c r="AT69" s="616"/>
      <c r="AU69" s="616"/>
      <c r="AV69" s="616"/>
      <c r="AW69" s="616"/>
      <c r="AX69" s="622"/>
      <c r="AY69" s="593"/>
      <c r="AZ69" s="622"/>
      <c r="BA69" s="593"/>
      <c r="BB69" s="602"/>
      <c r="BC69" s="593"/>
      <c r="BD69" s="602"/>
      <c r="BE69" s="593"/>
      <c r="BF69" s="339"/>
      <c r="BG69" s="339"/>
      <c r="BH69" s="339"/>
      <c r="BI69" s="339"/>
      <c r="BJ69" s="29" t="s">
        <v>918</v>
      </c>
      <c r="BK69" s="676" t="s">
        <v>1037</v>
      </c>
    </row>
    <row r="70" spans="1:63" ht="25.8" customHeight="1">
      <c r="A70" s="29" t="s">
        <v>257</v>
      </c>
      <c r="B70" s="29" t="s">
        <v>199</v>
      </c>
      <c r="C70" s="334" t="s">
        <v>361</v>
      </c>
      <c r="D70" s="29" t="s">
        <v>780</v>
      </c>
      <c r="E70" s="29" t="s">
        <v>263</v>
      </c>
      <c r="F70" s="378">
        <v>2024130010130</v>
      </c>
      <c r="G70" s="29" t="s">
        <v>277</v>
      </c>
      <c r="H70" s="29" t="s">
        <v>285</v>
      </c>
      <c r="I70" s="339" t="s">
        <v>413</v>
      </c>
      <c r="J70" s="353">
        <v>55</v>
      </c>
      <c r="K70" s="379">
        <v>0.1</v>
      </c>
      <c r="L70" s="339" t="s">
        <v>691</v>
      </c>
      <c r="M70" s="339" t="s">
        <v>632</v>
      </c>
      <c r="N70" s="339" t="s">
        <v>693</v>
      </c>
      <c r="O70" s="507">
        <v>3</v>
      </c>
      <c r="P70" s="505">
        <v>4</v>
      </c>
      <c r="Q70" s="206">
        <v>0</v>
      </c>
      <c r="R70" s="428">
        <v>2</v>
      </c>
      <c r="S70" s="353">
        <v>0</v>
      </c>
      <c r="T70" s="435">
        <v>0</v>
      </c>
      <c r="U70" s="172">
        <f t="shared" si="0"/>
        <v>2</v>
      </c>
      <c r="V70" s="349">
        <f t="shared" si="4"/>
        <v>0.5</v>
      </c>
      <c r="W70" s="341">
        <v>45660</v>
      </c>
      <c r="X70" s="341">
        <v>46022</v>
      </c>
      <c r="Y70" s="342">
        <f t="shared" si="2"/>
        <v>362</v>
      </c>
      <c r="Z70" s="206" t="s">
        <v>350</v>
      </c>
      <c r="AA70" s="339" t="s">
        <v>352</v>
      </c>
      <c r="AB70" s="206" t="s">
        <v>360</v>
      </c>
      <c r="AC70" s="29" t="s">
        <v>414</v>
      </c>
      <c r="AD70" s="339" t="s">
        <v>415</v>
      </c>
      <c r="AE70" s="343" t="s">
        <v>351</v>
      </c>
      <c r="AF70" s="380" t="s">
        <v>596</v>
      </c>
      <c r="AG70" s="368">
        <v>150000000</v>
      </c>
      <c r="AH70" s="206" t="s">
        <v>55</v>
      </c>
      <c r="AI70" s="206" t="s">
        <v>49</v>
      </c>
      <c r="AJ70" s="206"/>
      <c r="AK70" s="206"/>
      <c r="AL70" s="345" t="s">
        <v>856</v>
      </c>
      <c r="AM70" s="599"/>
      <c r="AN70" s="599"/>
      <c r="AO70" s="599"/>
      <c r="AP70" s="599"/>
      <c r="AQ70" s="347"/>
      <c r="AR70" s="429"/>
      <c r="AS70" s="339" t="s">
        <v>263</v>
      </c>
      <c r="AT70" s="616"/>
      <c r="AU70" s="616"/>
      <c r="AV70" s="616"/>
      <c r="AW70" s="616"/>
      <c r="AX70" s="622"/>
      <c r="AY70" s="593"/>
      <c r="AZ70" s="622"/>
      <c r="BA70" s="593"/>
      <c r="BB70" s="602"/>
      <c r="BC70" s="593"/>
      <c r="BD70" s="602"/>
      <c r="BE70" s="593"/>
      <c r="BF70" s="339"/>
      <c r="BG70" s="339"/>
      <c r="BH70" s="339"/>
      <c r="BI70" s="339"/>
      <c r="BJ70" s="29" t="s">
        <v>932</v>
      </c>
      <c r="BK70" s="676"/>
    </row>
    <row r="71" spans="1:63" ht="25.8" customHeight="1">
      <c r="A71" s="29" t="s">
        <v>257</v>
      </c>
      <c r="B71" s="29" t="s">
        <v>199</v>
      </c>
      <c r="C71" s="334" t="s">
        <v>361</v>
      </c>
      <c r="D71" s="29" t="s">
        <v>214</v>
      </c>
      <c r="E71" s="29" t="s">
        <v>263</v>
      </c>
      <c r="F71" s="378">
        <v>2024130010130</v>
      </c>
      <c r="G71" s="29" t="s">
        <v>277</v>
      </c>
      <c r="H71" s="29" t="s">
        <v>285</v>
      </c>
      <c r="I71" s="339" t="s">
        <v>413</v>
      </c>
      <c r="J71" s="353">
        <v>4</v>
      </c>
      <c r="K71" s="379">
        <v>0.1</v>
      </c>
      <c r="L71" s="29" t="s">
        <v>691</v>
      </c>
      <c r="M71" s="339" t="s">
        <v>632</v>
      </c>
      <c r="N71" s="339" t="s">
        <v>693</v>
      </c>
      <c r="O71" s="339">
        <v>3</v>
      </c>
      <c r="P71" s="340">
        <v>4</v>
      </c>
      <c r="Q71" s="206">
        <v>0</v>
      </c>
      <c r="R71" s="428">
        <v>2</v>
      </c>
      <c r="S71" s="353">
        <v>0</v>
      </c>
      <c r="T71" s="435">
        <v>0</v>
      </c>
      <c r="U71" s="172">
        <f t="shared" si="0"/>
        <v>2</v>
      </c>
      <c r="V71" s="349">
        <f t="shared" si="4"/>
        <v>0.5</v>
      </c>
      <c r="W71" s="341">
        <v>45660</v>
      </c>
      <c r="X71" s="341">
        <v>46022</v>
      </c>
      <c r="Y71" s="342">
        <f t="shared" si="2"/>
        <v>362</v>
      </c>
      <c r="Z71" s="206" t="s">
        <v>350</v>
      </c>
      <c r="AA71" s="339" t="s">
        <v>352</v>
      </c>
      <c r="AB71" s="206" t="s">
        <v>360</v>
      </c>
      <c r="AC71" s="339" t="s">
        <v>393</v>
      </c>
      <c r="AD71" s="339" t="s">
        <v>394</v>
      </c>
      <c r="AE71" s="343" t="s">
        <v>351</v>
      </c>
      <c r="AF71" s="380" t="s">
        <v>695</v>
      </c>
      <c r="AG71" s="368">
        <v>131275119</v>
      </c>
      <c r="AH71" s="339" t="s">
        <v>53</v>
      </c>
      <c r="AI71" s="206" t="s">
        <v>49</v>
      </c>
      <c r="AJ71" s="206"/>
      <c r="AK71" s="206"/>
      <c r="AL71" s="206"/>
      <c r="AM71" s="599"/>
      <c r="AN71" s="599"/>
      <c r="AO71" s="599"/>
      <c r="AP71" s="599"/>
      <c r="AQ71" s="347"/>
      <c r="AR71" s="429"/>
      <c r="AS71" s="339" t="s">
        <v>263</v>
      </c>
      <c r="AT71" s="616"/>
      <c r="AU71" s="616"/>
      <c r="AV71" s="616"/>
      <c r="AW71" s="616"/>
      <c r="AX71" s="622"/>
      <c r="AY71" s="593"/>
      <c r="AZ71" s="622"/>
      <c r="BA71" s="593"/>
      <c r="BB71" s="602"/>
      <c r="BC71" s="593"/>
      <c r="BD71" s="602"/>
      <c r="BE71" s="593"/>
      <c r="BF71" s="339"/>
      <c r="BG71" s="339"/>
      <c r="BH71" s="339"/>
      <c r="BI71" s="339"/>
      <c r="BJ71" s="29" t="s">
        <v>918</v>
      </c>
      <c r="BK71" s="676"/>
    </row>
    <row r="72" spans="1:63" ht="25.8" customHeight="1">
      <c r="A72" s="29" t="s">
        <v>257</v>
      </c>
      <c r="B72" s="29" t="s">
        <v>199</v>
      </c>
      <c r="C72" s="334" t="s">
        <v>361</v>
      </c>
      <c r="D72" s="29" t="s">
        <v>214</v>
      </c>
      <c r="E72" s="29" t="s">
        <v>263</v>
      </c>
      <c r="F72" s="378">
        <v>2024130010130</v>
      </c>
      <c r="G72" s="29" t="s">
        <v>277</v>
      </c>
      <c r="H72" s="29" t="s">
        <v>285</v>
      </c>
      <c r="I72" s="339" t="s">
        <v>413</v>
      </c>
      <c r="J72" s="353">
        <v>4</v>
      </c>
      <c r="K72" s="379">
        <v>0.1</v>
      </c>
      <c r="L72" s="29" t="s">
        <v>692</v>
      </c>
      <c r="M72" s="339" t="s">
        <v>632</v>
      </c>
      <c r="N72" s="339" t="s">
        <v>694</v>
      </c>
      <c r="O72" s="339">
        <v>3</v>
      </c>
      <c r="P72" s="340">
        <v>4</v>
      </c>
      <c r="Q72" s="206">
        <v>0</v>
      </c>
      <c r="R72" s="428">
        <v>2</v>
      </c>
      <c r="S72" s="206">
        <v>0</v>
      </c>
      <c r="T72" s="435">
        <v>0</v>
      </c>
      <c r="U72" s="172">
        <f t="shared" si="0"/>
        <v>2</v>
      </c>
      <c r="V72" s="349">
        <f t="shared" si="4"/>
        <v>0.5</v>
      </c>
      <c r="W72" s="341">
        <v>45660</v>
      </c>
      <c r="X72" s="341">
        <v>46022</v>
      </c>
      <c r="Y72" s="342">
        <f t="shared" si="2"/>
        <v>362</v>
      </c>
      <c r="Z72" s="206" t="s">
        <v>350</v>
      </c>
      <c r="AA72" s="339" t="s">
        <v>352</v>
      </c>
      <c r="AB72" s="206" t="s">
        <v>360</v>
      </c>
      <c r="AC72" s="339" t="s">
        <v>393</v>
      </c>
      <c r="AD72" s="339" t="s">
        <v>394</v>
      </c>
      <c r="AE72" s="343" t="s">
        <v>351</v>
      </c>
      <c r="AF72" s="380" t="s">
        <v>596</v>
      </c>
      <c r="AG72" s="368">
        <v>150000000</v>
      </c>
      <c r="AH72" s="339" t="s">
        <v>55</v>
      </c>
      <c r="AI72" s="206" t="s">
        <v>49</v>
      </c>
      <c r="AJ72" s="206"/>
      <c r="AK72" s="206"/>
      <c r="AL72" s="345" t="s">
        <v>857</v>
      </c>
      <c r="AM72" s="599"/>
      <c r="AN72" s="599"/>
      <c r="AO72" s="599"/>
      <c r="AP72" s="599"/>
      <c r="AQ72" s="347"/>
      <c r="AR72" s="429"/>
      <c r="AS72" s="339" t="s">
        <v>263</v>
      </c>
      <c r="AT72" s="616"/>
      <c r="AU72" s="616"/>
      <c r="AV72" s="616"/>
      <c r="AW72" s="616"/>
      <c r="AX72" s="622"/>
      <c r="AY72" s="593"/>
      <c r="AZ72" s="622"/>
      <c r="BA72" s="593"/>
      <c r="BB72" s="602"/>
      <c r="BC72" s="593"/>
      <c r="BD72" s="602"/>
      <c r="BE72" s="593"/>
      <c r="BF72" s="339"/>
      <c r="BG72" s="339"/>
      <c r="BH72" s="339"/>
      <c r="BI72" s="339"/>
      <c r="BJ72" s="29" t="s">
        <v>918</v>
      </c>
      <c r="BK72" s="676" t="s">
        <v>1038</v>
      </c>
    </row>
    <row r="73" spans="1:63" ht="25.8" customHeight="1">
      <c r="A73" s="29" t="s">
        <v>257</v>
      </c>
      <c r="B73" s="29" t="s">
        <v>199</v>
      </c>
      <c r="C73" s="334" t="s">
        <v>361</v>
      </c>
      <c r="D73" s="29" t="s">
        <v>214</v>
      </c>
      <c r="E73" s="29" t="s">
        <v>263</v>
      </c>
      <c r="F73" s="378">
        <v>2024130010130</v>
      </c>
      <c r="G73" s="29" t="s">
        <v>277</v>
      </c>
      <c r="H73" s="29" t="s">
        <v>285</v>
      </c>
      <c r="I73" s="339" t="s">
        <v>413</v>
      </c>
      <c r="J73" s="353">
        <v>4</v>
      </c>
      <c r="K73" s="379">
        <v>0.1</v>
      </c>
      <c r="L73" s="29" t="s">
        <v>692</v>
      </c>
      <c r="M73" s="339" t="s">
        <v>632</v>
      </c>
      <c r="N73" s="339" t="s">
        <v>694</v>
      </c>
      <c r="O73" s="339">
        <v>3</v>
      </c>
      <c r="P73" s="340">
        <v>4</v>
      </c>
      <c r="Q73" s="206">
        <v>0</v>
      </c>
      <c r="R73" s="428">
        <v>2</v>
      </c>
      <c r="S73" s="206">
        <v>0</v>
      </c>
      <c r="T73" s="435">
        <v>0</v>
      </c>
      <c r="U73" s="172">
        <f t="shared" si="0"/>
        <v>2</v>
      </c>
      <c r="V73" s="349">
        <f t="shared" si="4"/>
        <v>0.5</v>
      </c>
      <c r="W73" s="341">
        <v>45660</v>
      </c>
      <c r="X73" s="341">
        <v>46022</v>
      </c>
      <c r="Y73" s="342">
        <f t="shared" si="2"/>
        <v>362</v>
      </c>
      <c r="Z73" s="206" t="s">
        <v>350</v>
      </c>
      <c r="AA73" s="339" t="s">
        <v>352</v>
      </c>
      <c r="AB73" s="206" t="s">
        <v>360</v>
      </c>
      <c r="AC73" s="339" t="s">
        <v>393</v>
      </c>
      <c r="AD73" s="339" t="s">
        <v>394</v>
      </c>
      <c r="AE73" s="343" t="s">
        <v>930</v>
      </c>
      <c r="AF73" s="380" t="s">
        <v>696</v>
      </c>
      <c r="AG73" s="368">
        <v>150000000</v>
      </c>
      <c r="AH73" s="339" t="s">
        <v>53</v>
      </c>
      <c r="AI73" s="206" t="s">
        <v>49</v>
      </c>
      <c r="AJ73" s="206"/>
      <c r="AK73" s="206"/>
      <c r="AL73" s="345" t="s">
        <v>858</v>
      </c>
      <c r="AM73" s="600"/>
      <c r="AN73" s="600"/>
      <c r="AO73" s="600"/>
      <c r="AP73" s="600"/>
      <c r="AQ73" s="356"/>
      <c r="AR73" s="430"/>
      <c r="AS73" s="339" t="s">
        <v>263</v>
      </c>
      <c r="AT73" s="617"/>
      <c r="AU73" s="617"/>
      <c r="AV73" s="617"/>
      <c r="AW73" s="617"/>
      <c r="AX73" s="623"/>
      <c r="AY73" s="594"/>
      <c r="AZ73" s="623"/>
      <c r="BA73" s="594"/>
      <c r="BB73" s="603"/>
      <c r="BC73" s="594"/>
      <c r="BD73" s="603"/>
      <c r="BE73" s="594"/>
      <c r="BF73" s="339"/>
      <c r="BG73" s="339"/>
      <c r="BH73" s="339"/>
      <c r="BI73" s="339"/>
      <c r="BJ73" s="29" t="s">
        <v>918</v>
      </c>
      <c r="BK73" s="676"/>
    </row>
    <row r="74" spans="1:63" ht="25.8" customHeight="1">
      <c r="A74" s="29"/>
      <c r="B74" s="29"/>
      <c r="C74" s="334"/>
      <c r="D74" s="29"/>
      <c r="E74" s="663" t="s">
        <v>770</v>
      </c>
      <c r="F74" s="664"/>
      <c r="G74" s="664"/>
      <c r="H74" s="664"/>
      <c r="I74" s="664"/>
      <c r="J74" s="664"/>
      <c r="K74" s="664"/>
      <c r="L74" s="664"/>
      <c r="M74" s="664"/>
      <c r="N74" s="664"/>
      <c r="O74" s="664"/>
      <c r="P74" s="664"/>
      <c r="Q74" s="664"/>
      <c r="R74" s="665"/>
      <c r="S74" s="357"/>
      <c r="T74" s="357"/>
      <c r="U74" s="337"/>
      <c r="V74" s="289">
        <f>AVERAGE(V61:V73)</f>
        <v>0.7080033399436384</v>
      </c>
      <c r="W74" s="341"/>
      <c r="X74" s="341"/>
      <c r="Y74" s="342"/>
      <c r="Z74" s="206"/>
      <c r="AA74" s="339"/>
      <c r="AB74" s="206"/>
      <c r="AC74" s="339"/>
      <c r="AD74" s="339"/>
      <c r="AE74" s="343"/>
      <c r="AF74" s="380"/>
      <c r="AG74" s="368"/>
      <c r="AH74" s="339"/>
      <c r="AI74" s="206"/>
      <c r="AJ74" s="206"/>
      <c r="AK74" s="206"/>
      <c r="AL74" s="206"/>
      <c r="AM74" s="381">
        <f>SUM(AM61)</f>
        <v>4532675119</v>
      </c>
      <c r="AN74" s="381">
        <f>SUM(AN61)</f>
        <v>8250277366.1000004</v>
      </c>
      <c r="AO74" s="381">
        <f>SUM(AO61)</f>
        <v>8250277366.1000004</v>
      </c>
      <c r="AP74" s="381">
        <f>SUM(AP61)</f>
        <v>8250277366.1000004</v>
      </c>
      <c r="AQ74" s="381">
        <f>SUM(AQ61:AQ73)</f>
        <v>10384575626.1</v>
      </c>
      <c r="AR74" s="348"/>
      <c r="AS74" s="339"/>
      <c r="AT74" s="339">
        <f>SUM(AT61)</f>
        <v>0</v>
      </c>
      <c r="AU74" s="377">
        <f>+AU73</f>
        <v>0</v>
      </c>
      <c r="AV74" s="339">
        <f>SUM(AV61)</f>
        <v>0</v>
      </c>
      <c r="AW74" s="377">
        <f>+AW61</f>
        <v>0</v>
      </c>
      <c r="AX74" s="373">
        <f>SUM(AX61)</f>
        <v>3924975844</v>
      </c>
      <c r="AY74" s="369">
        <f>+AY61</f>
        <v>0.47573865336061794</v>
      </c>
      <c r="AZ74" s="373">
        <f>SUM(AZ61)</f>
        <v>3565563054</v>
      </c>
      <c r="BA74" s="369">
        <f>+BA61</f>
        <v>0.43217493131209506</v>
      </c>
      <c r="BB74" s="373">
        <f>SUM(BB61)</f>
        <v>5081308003.8899994</v>
      </c>
      <c r="BC74" s="369">
        <f>+BC61</f>
        <v>0.61589541519765789</v>
      </c>
      <c r="BD74" s="373">
        <f>SUM(BD61)</f>
        <v>5081308003.8899994</v>
      </c>
      <c r="BE74" s="369">
        <f>+BE61</f>
        <v>0.61589541519765789</v>
      </c>
      <c r="BF74" s="472">
        <f>SUM(BF61:BF73)</f>
        <v>7571163144.7699995</v>
      </c>
      <c r="BG74" s="434">
        <f>+BF74/AQ74</f>
        <v>0.72907776084186526</v>
      </c>
      <c r="BH74" s="472">
        <f>SUM(BH61:BH73)</f>
        <v>7492163144.7699995</v>
      </c>
      <c r="BI74" s="434">
        <f>+BH74/AQ74</f>
        <v>0.72147032430864322</v>
      </c>
      <c r="BJ74" s="367"/>
    </row>
    <row r="75" spans="1:63" ht="25.8" customHeight="1">
      <c r="A75" s="29" t="s">
        <v>257</v>
      </c>
      <c r="B75" s="29" t="s">
        <v>199</v>
      </c>
      <c r="C75" s="334" t="s">
        <v>361</v>
      </c>
      <c r="D75" s="29" t="s">
        <v>215</v>
      </c>
      <c r="E75" s="29" t="s">
        <v>264</v>
      </c>
      <c r="F75" s="378">
        <v>2024130010136</v>
      </c>
      <c r="G75" s="29" t="s">
        <v>323</v>
      </c>
      <c r="H75" s="29" t="s">
        <v>324</v>
      </c>
      <c r="I75" s="29" t="s">
        <v>244</v>
      </c>
      <c r="J75" s="353">
        <v>0</v>
      </c>
      <c r="K75" s="379">
        <v>0.15</v>
      </c>
      <c r="L75" s="380" t="s">
        <v>325</v>
      </c>
      <c r="M75" s="339" t="s">
        <v>632</v>
      </c>
      <c r="N75" s="339" t="s">
        <v>798</v>
      </c>
      <c r="O75" s="339" t="s">
        <v>499</v>
      </c>
      <c r="P75" s="461">
        <v>4</v>
      </c>
      <c r="Q75" s="428">
        <v>0</v>
      </c>
      <c r="R75" s="353">
        <v>0</v>
      </c>
      <c r="S75" s="353">
        <v>0</v>
      </c>
      <c r="T75" s="435">
        <v>4</v>
      </c>
      <c r="U75" s="337">
        <f t="shared" ref="U75:U139" si="6">SUM(Q75:T75)</f>
        <v>4</v>
      </c>
      <c r="V75" s="349">
        <f t="shared" si="4"/>
        <v>1</v>
      </c>
      <c r="W75" s="341">
        <v>45660</v>
      </c>
      <c r="X75" s="341">
        <v>46022</v>
      </c>
      <c r="Y75" s="342">
        <f t="shared" si="2"/>
        <v>362</v>
      </c>
      <c r="Z75" s="206" t="s">
        <v>350</v>
      </c>
      <c r="AA75" s="339" t="s">
        <v>352</v>
      </c>
      <c r="AB75" s="206" t="s">
        <v>360</v>
      </c>
      <c r="AC75" s="350" t="s">
        <v>395</v>
      </c>
      <c r="AD75" s="351" t="s">
        <v>396</v>
      </c>
      <c r="AE75" s="343" t="s">
        <v>929</v>
      </c>
      <c r="AF75" s="380" t="s">
        <v>596</v>
      </c>
      <c r="AG75" s="368">
        <v>31000000</v>
      </c>
      <c r="AH75" s="206" t="s">
        <v>55</v>
      </c>
      <c r="AI75" s="206" t="s">
        <v>49</v>
      </c>
      <c r="AJ75" s="206"/>
      <c r="AK75" s="206"/>
      <c r="AL75" s="345" t="s">
        <v>859</v>
      </c>
      <c r="AM75" s="598">
        <v>565956339</v>
      </c>
      <c r="AN75" s="598">
        <v>565956339</v>
      </c>
      <c r="AO75" s="598">
        <v>565956339</v>
      </c>
      <c r="AP75" s="598">
        <v>675760281</v>
      </c>
      <c r="AQ75" s="431">
        <v>100000000</v>
      </c>
      <c r="AR75" s="470" t="s">
        <v>1056</v>
      </c>
      <c r="AS75" s="339" t="s">
        <v>264</v>
      </c>
      <c r="AT75" s="615">
        <v>0</v>
      </c>
      <c r="AU75" s="624">
        <v>0</v>
      </c>
      <c r="AV75" s="621">
        <v>0</v>
      </c>
      <c r="AW75" s="624">
        <v>0</v>
      </c>
      <c r="AX75" s="621">
        <v>47058832</v>
      </c>
      <c r="AY75" s="592">
        <f>+AX75/AO75</f>
        <v>8.31492268169471E-2</v>
      </c>
      <c r="AZ75" s="621">
        <v>47058832</v>
      </c>
      <c r="BA75" s="592">
        <f>+AZ75/AO75</f>
        <v>8.31492268169471E-2</v>
      </c>
      <c r="BB75" s="601">
        <v>47058832</v>
      </c>
      <c r="BC75" s="592">
        <f>+BB75/AP75</f>
        <v>6.9638351532531104E-2</v>
      </c>
      <c r="BD75" s="601">
        <v>47058832</v>
      </c>
      <c r="BE75" s="592">
        <f>+BD75/AP75</f>
        <v>6.9638351532531104E-2</v>
      </c>
      <c r="BF75" s="433">
        <v>99671357</v>
      </c>
      <c r="BG75" s="339"/>
      <c r="BH75" s="433">
        <v>99671357</v>
      </c>
      <c r="BI75" s="339"/>
      <c r="BJ75" s="29" t="s">
        <v>818</v>
      </c>
      <c r="BK75" s="676" t="s">
        <v>1039</v>
      </c>
    </row>
    <row r="76" spans="1:63" ht="25.8" customHeight="1">
      <c r="A76" s="29" t="s">
        <v>257</v>
      </c>
      <c r="B76" s="29" t="s">
        <v>199</v>
      </c>
      <c r="C76" s="334" t="s">
        <v>361</v>
      </c>
      <c r="D76" s="29" t="s">
        <v>927</v>
      </c>
      <c r="E76" s="29" t="s">
        <v>264</v>
      </c>
      <c r="F76" s="378">
        <v>2024130010136</v>
      </c>
      <c r="G76" s="29" t="s">
        <v>323</v>
      </c>
      <c r="H76" s="29" t="s">
        <v>324</v>
      </c>
      <c r="I76" s="29" t="s">
        <v>484</v>
      </c>
      <c r="J76" s="353">
        <v>55</v>
      </c>
      <c r="K76" s="379"/>
      <c r="L76" s="380" t="s">
        <v>325</v>
      </c>
      <c r="M76" s="339"/>
      <c r="N76" s="339" t="s">
        <v>928</v>
      </c>
      <c r="O76" s="339" t="s">
        <v>499</v>
      </c>
      <c r="P76" s="505">
        <v>0</v>
      </c>
      <c r="Q76" s="428">
        <v>0</v>
      </c>
      <c r="R76" s="353">
        <v>0</v>
      </c>
      <c r="S76" s="506">
        <v>0</v>
      </c>
      <c r="T76" s="435">
        <v>0</v>
      </c>
      <c r="U76" s="337">
        <f t="shared" si="6"/>
        <v>0</v>
      </c>
      <c r="V76" s="349"/>
      <c r="W76" s="341">
        <v>45660</v>
      </c>
      <c r="X76" s="341">
        <v>46022</v>
      </c>
      <c r="Y76" s="342">
        <f t="shared" si="2"/>
        <v>362</v>
      </c>
      <c r="Z76" s="206" t="s">
        <v>350</v>
      </c>
      <c r="AA76" s="339" t="s">
        <v>352</v>
      </c>
      <c r="AB76" s="206" t="s">
        <v>360</v>
      </c>
      <c r="AC76" s="350" t="s">
        <v>395</v>
      </c>
      <c r="AD76" s="351" t="s">
        <v>396</v>
      </c>
      <c r="AE76" s="343" t="s">
        <v>351</v>
      </c>
      <c r="AF76" s="380" t="s">
        <v>596</v>
      </c>
      <c r="AG76" s="368">
        <v>31000000</v>
      </c>
      <c r="AH76" s="206" t="s">
        <v>55</v>
      </c>
      <c r="AI76" s="206" t="s">
        <v>49</v>
      </c>
      <c r="AJ76" s="206"/>
      <c r="AK76" s="206"/>
      <c r="AL76" s="345" t="s">
        <v>859</v>
      </c>
      <c r="AM76" s="599"/>
      <c r="AN76" s="599"/>
      <c r="AO76" s="599"/>
      <c r="AP76" s="599"/>
      <c r="AQ76" s="431">
        <v>300000000</v>
      </c>
      <c r="AR76" s="470" t="s">
        <v>1057</v>
      </c>
      <c r="AS76" s="339" t="s">
        <v>264</v>
      </c>
      <c r="AT76" s="616"/>
      <c r="AU76" s="625"/>
      <c r="AV76" s="622"/>
      <c r="AW76" s="625"/>
      <c r="AX76" s="622"/>
      <c r="AY76" s="593"/>
      <c r="AZ76" s="622"/>
      <c r="BA76" s="593"/>
      <c r="BB76" s="602"/>
      <c r="BC76" s="593"/>
      <c r="BD76" s="602"/>
      <c r="BE76" s="593"/>
      <c r="BF76" s="433">
        <v>109803942</v>
      </c>
      <c r="BG76" s="339"/>
      <c r="BH76" s="433">
        <v>109803942</v>
      </c>
      <c r="BI76" s="339"/>
      <c r="BJ76" s="29" t="s">
        <v>931</v>
      </c>
      <c r="BK76" s="676"/>
    </row>
    <row r="77" spans="1:63" ht="25.8" customHeight="1">
      <c r="A77" s="29" t="s">
        <v>257</v>
      </c>
      <c r="B77" s="29" t="s">
        <v>199</v>
      </c>
      <c r="C77" s="334" t="s">
        <v>361</v>
      </c>
      <c r="D77" s="29" t="s">
        <v>215</v>
      </c>
      <c r="E77" s="29" t="s">
        <v>264</v>
      </c>
      <c r="F77" s="378">
        <v>2024130010136</v>
      </c>
      <c r="G77" s="29" t="s">
        <v>323</v>
      </c>
      <c r="H77" s="29" t="s">
        <v>324</v>
      </c>
      <c r="I77" s="29" t="s">
        <v>244</v>
      </c>
      <c r="J77" s="353">
        <v>0</v>
      </c>
      <c r="K77" s="379">
        <v>0.15</v>
      </c>
      <c r="L77" s="339" t="s">
        <v>326</v>
      </c>
      <c r="M77" s="339"/>
      <c r="N77" s="339" t="s">
        <v>799</v>
      </c>
      <c r="O77" s="339">
        <v>0</v>
      </c>
      <c r="P77" s="340">
        <v>2</v>
      </c>
      <c r="Q77" s="428">
        <v>0</v>
      </c>
      <c r="R77" s="353">
        <v>0</v>
      </c>
      <c r="S77" s="353">
        <v>0</v>
      </c>
      <c r="T77" s="435">
        <v>1</v>
      </c>
      <c r="U77" s="337">
        <f t="shared" si="6"/>
        <v>1</v>
      </c>
      <c r="V77" s="349">
        <f>+U77/P77</f>
        <v>0.5</v>
      </c>
      <c r="W77" s="341">
        <v>45660</v>
      </c>
      <c r="X77" s="341">
        <v>46022</v>
      </c>
      <c r="Y77" s="342">
        <f t="shared" ref="Y77:Y140" si="7">+X77-W77</f>
        <v>362</v>
      </c>
      <c r="Z77" s="206" t="s">
        <v>350</v>
      </c>
      <c r="AA77" s="339" t="s">
        <v>352</v>
      </c>
      <c r="AB77" s="206" t="s">
        <v>360</v>
      </c>
      <c r="AC77" s="339" t="s">
        <v>385</v>
      </c>
      <c r="AD77" s="339" t="s">
        <v>386</v>
      </c>
      <c r="AE77" s="343" t="s">
        <v>351</v>
      </c>
      <c r="AF77" s="380" t="s">
        <v>596</v>
      </c>
      <c r="AG77" s="368">
        <v>31000000</v>
      </c>
      <c r="AH77" s="206" t="s">
        <v>55</v>
      </c>
      <c r="AI77" s="206" t="s">
        <v>49</v>
      </c>
      <c r="AJ77" s="206"/>
      <c r="AK77" s="206"/>
      <c r="AL77" s="345" t="s">
        <v>860</v>
      </c>
      <c r="AM77" s="599"/>
      <c r="AN77" s="599"/>
      <c r="AO77" s="599"/>
      <c r="AP77" s="599"/>
      <c r="AQ77" s="431">
        <v>165956339</v>
      </c>
      <c r="AR77" s="470" t="s">
        <v>1058</v>
      </c>
      <c r="AS77" s="339" t="s">
        <v>264</v>
      </c>
      <c r="AT77" s="616"/>
      <c r="AU77" s="625"/>
      <c r="AV77" s="622"/>
      <c r="AW77" s="625"/>
      <c r="AX77" s="622"/>
      <c r="AY77" s="593"/>
      <c r="AZ77" s="622"/>
      <c r="BA77" s="593"/>
      <c r="BB77" s="602"/>
      <c r="BC77" s="593"/>
      <c r="BD77" s="602"/>
      <c r="BE77" s="593"/>
      <c r="BF77" s="433">
        <v>152184701</v>
      </c>
      <c r="BG77" s="339"/>
      <c r="BH77" s="433">
        <v>152184701</v>
      </c>
      <c r="BI77" s="339"/>
      <c r="BJ77" s="29" t="s">
        <v>818</v>
      </c>
      <c r="BK77" s="676"/>
    </row>
    <row r="78" spans="1:63" ht="25.8" customHeight="1">
      <c r="A78" s="29" t="s">
        <v>257</v>
      </c>
      <c r="B78" s="29" t="s">
        <v>199</v>
      </c>
      <c r="C78" s="334" t="s">
        <v>361</v>
      </c>
      <c r="D78" s="29" t="s">
        <v>215</v>
      </c>
      <c r="E78" s="29" t="s">
        <v>264</v>
      </c>
      <c r="F78" s="378">
        <v>2024130010136</v>
      </c>
      <c r="G78" s="29" t="s">
        <v>323</v>
      </c>
      <c r="H78" s="29" t="s">
        <v>324</v>
      </c>
      <c r="I78" s="29" t="s">
        <v>244</v>
      </c>
      <c r="J78" s="353">
        <v>0</v>
      </c>
      <c r="K78" s="379">
        <v>0.15</v>
      </c>
      <c r="L78" s="339" t="s">
        <v>326</v>
      </c>
      <c r="M78" s="339"/>
      <c r="N78" s="339" t="s">
        <v>799</v>
      </c>
      <c r="O78" s="339">
        <v>0</v>
      </c>
      <c r="P78" s="340">
        <v>2</v>
      </c>
      <c r="Q78" s="428">
        <v>0</v>
      </c>
      <c r="R78" s="353">
        <v>0</v>
      </c>
      <c r="S78" s="353">
        <v>0</v>
      </c>
      <c r="T78" s="435">
        <v>1</v>
      </c>
      <c r="U78" s="337">
        <f t="shared" si="6"/>
        <v>1</v>
      </c>
      <c r="V78" s="349">
        <f>+U78/P78</f>
        <v>0.5</v>
      </c>
      <c r="W78" s="341">
        <v>45660</v>
      </c>
      <c r="X78" s="341">
        <v>46022</v>
      </c>
      <c r="Y78" s="342">
        <f t="shared" si="7"/>
        <v>362</v>
      </c>
      <c r="Z78" s="206" t="s">
        <v>350</v>
      </c>
      <c r="AA78" s="339" t="s">
        <v>352</v>
      </c>
      <c r="AB78" s="206" t="s">
        <v>360</v>
      </c>
      <c r="AC78" s="339" t="s">
        <v>385</v>
      </c>
      <c r="AD78" s="339" t="s">
        <v>386</v>
      </c>
      <c r="AE78" s="343" t="s">
        <v>351</v>
      </c>
      <c r="AF78" s="380" t="s">
        <v>685</v>
      </c>
      <c r="AG78" s="368">
        <v>5000000</v>
      </c>
      <c r="AH78" s="339" t="s">
        <v>56</v>
      </c>
      <c r="AI78" s="206" t="s">
        <v>49</v>
      </c>
      <c r="AJ78" s="206"/>
      <c r="AK78" s="206"/>
      <c r="AL78" s="206"/>
      <c r="AM78" s="599"/>
      <c r="AN78" s="599"/>
      <c r="AO78" s="599"/>
      <c r="AP78" s="599"/>
      <c r="AQ78" s="431">
        <v>109803942</v>
      </c>
      <c r="AR78" s="432" t="s">
        <v>1059</v>
      </c>
      <c r="AS78" s="339" t="s">
        <v>264</v>
      </c>
      <c r="AT78" s="616"/>
      <c r="AU78" s="625"/>
      <c r="AV78" s="622"/>
      <c r="AW78" s="625"/>
      <c r="AX78" s="622"/>
      <c r="AY78" s="593"/>
      <c r="AZ78" s="622"/>
      <c r="BA78" s="593"/>
      <c r="BB78" s="602"/>
      <c r="BC78" s="593"/>
      <c r="BD78" s="602"/>
      <c r="BE78" s="593"/>
      <c r="BF78" s="433">
        <v>148048750</v>
      </c>
      <c r="BG78" s="339"/>
      <c r="BH78" s="433">
        <v>148048750</v>
      </c>
      <c r="BI78" s="339"/>
      <c r="BJ78" s="29" t="s">
        <v>818</v>
      </c>
      <c r="BK78" s="676"/>
    </row>
    <row r="79" spans="1:63" ht="25.8" customHeight="1">
      <c r="A79" s="29" t="s">
        <v>257</v>
      </c>
      <c r="B79" s="29" t="s">
        <v>199</v>
      </c>
      <c r="C79" s="334" t="s">
        <v>361</v>
      </c>
      <c r="D79" s="29" t="s">
        <v>334</v>
      </c>
      <c r="E79" s="29" t="s">
        <v>264</v>
      </c>
      <c r="F79" s="378">
        <v>2024130010136</v>
      </c>
      <c r="G79" s="29" t="s">
        <v>323</v>
      </c>
      <c r="H79" s="336" t="s">
        <v>294</v>
      </c>
      <c r="I79" s="29" t="s">
        <v>411</v>
      </c>
      <c r="J79" s="154">
        <v>9736</v>
      </c>
      <c r="K79" s="379">
        <v>0.25</v>
      </c>
      <c r="L79" s="29" t="s">
        <v>295</v>
      </c>
      <c r="M79" s="339"/>
      <c r="N79" s="339" t="s">
        <v>800</v>
      </c>
      <c r="O79" s="339">
        <v>7166</v>
      </c>
      <c r="P79" s="340">
        <v>7000</v>
      </c>
      <c r="Q79" s="428">
        <v>429</v>
      </c>
      <c r="R79" s="154">
        <v>9307</v>
      </c>
      <c r="S79" s="154">
        <v>0</v>
      </c>
      <c r="T79" s="435">
        <v>0</v>
      </c>
      <c r="U79" s="337">
        <f t="shared" si="6"/>
        <v>9736</v>
      </c>
      <c r="V79" s="349">
        <v>1</v>
      </c>
      <c r="W79" s="341">
        <v>45660</v>
      </c>
      <c r="X79" s="341">
        <v>46022</v>
      </c>
      <c r="Y79" s="342">
        <f t="shared" si="7"/>
        <v>362</v>
      </c>
      <c r="Z79" s="29">
        <v>7000</v>
      </c>
      <c r="AA79" s="339" t="s">
        <v>352</v>
      </c>
      <c r="AB79" s="206" t="s">
        <v>360</v>
      </c>
      <c r="AC79" s="350" t="s">
        <v>397</v>
      </c>
      <c r="AD79" s="206" t="s">
        <v>398</v>
      </c>
      <c r="AE79" s="343" t="s">
        <v>351</v>
      </c>
      <c r="AF79" s="380" t="s">
        <v>596</v>
      </c>
      <c r="AG79" s="368">
        <v>62000000</v>
      </c>
      <c r="AH79" s="206" t="s">
        <v>55</v>
      </c>
      <c r="AI79" s="206" t="s">
        <v>49</v>
      </c>
      <c r="AJ79" s="206"/>
      <c r="AK79" s="206"/>
      <c r="AL79" s="345" t="s">
        <v>861</v>
      </c>
      <c r="AM79" s="599"/>
      <c r="AN79" s="599"/>
      <c r="AO79" s="599"/>
      <c r="AP79" s="599"/>
      <c r="AQ79" s="347"/>
      <c r="AR79" s="429"/>
      <c r="AS79" s="339" t="s">
        <v>264</v>
      </c>
      <c r="AT79" s="616"/>
      <c r="AU79" s="625"/>
      <c r="AV79" s="622"/>
      <c r="AW79" s="625"/>
      <c r="AX79" s="622"/>
      <c r="AY79" s="593"/>
      <c r="AZ79" s="622"/>
      <c r="BA79" s="593"/>
      <c r="BB79" s="602"/>
      <c r="BC79" s="593"/>
      <c r="BD79" s="602"/>
      <c r="BE79" s="593"/>
      <c r="BF79" s="339"/>
      <c r="BG79" s="339"/>
      <c r="BH79" s="339"/>
      <c r="BI79" s="339"/>
      <c r="BJ79" s="29" t="s">
        <v>920</v>
      </c>
      <c r="BK79" s="464" t="s">
        <v>1040</v>
      </c>
    </row>
    <row r="80" spans="1:63" ht="25.8" customHeight="1">
      <c r="A80" s="29" t="s">
        <v>257</v>
      </c>
      <c r="B80" s="29" t="s">
        <v>199</v>
      </c>
      <c r="C80" s="334" t="s">
        <v>361</v>
      </c>
      <c r="D80" s="29" t="s">
        <v>334</v>
      </c>
      <c r="E80" s="29" t="s">
        <v>264</v>
      </c>
      <c r="F80" s="378">
        <v>2024130010136</v>
      </c>
      <c r="G80" s="29" t="s">
        <v>323</v>
      </c>
      <c r="H80" s="339" t="s">
        <v>294</v>
      </c>
      <c r="I80" s="29" t="s">
        <v>411</v>
      </c>
      <c r="J80" s="353">
        <v>9736</v>
      </c>
      <c r="K80" s="379">
        <v>0.25</v>
      </c>
      <c r="L80" s="29" t="s">
        <v>298</v>
      </c>
      <c r="M80" s="339" t="s">
        <v>632</v>
      </c>
      <c r="N80" s="339" t="s">
        <v>801</v>
      </c>
      <c r="O80" s="339">
        <v>1</v>
      </c>
      <c r="P80" s="340">
        <v>1</v>
      </c>
      <c r="Q80" s="340">
        <v>0</v>
      </c>
      <c r="R80" s="353">
        <v>0</v>
      </c>
      <c r="S80" s="353">
        <v>0</v>
      </c>
      <c r="T80" s="435">
        <v>1</v>
      </c>
      <c r="U80" s="337">
        <f t="shared" si="6"/>
        <v>1</v>
      </c>
      <c r="V80" s="349">
        <f t="shared" si="4"/>
        <v>1</v>
      </c>
      <c r="W80" s="341">
        <v>45660</v>
      </c>
      <c r="X80" s="341">
        <v>46022</v>
      </c>
      <c r="Y80" s="342">
        <f t="shared" si="7"/>
        <v>362</v>
      </c>
      <c r="Z80" s="29">
        <v>7000</v>
      </c>
      <c r="AA80" s="339" t="s">
        <v>352</v>
      </c>
      <c r="AB80" s="206" t="s">
        <v>360</v>
      </c>
      <c r="AC80" s="339" t="s">
        <v>399</v>
      </c>
      <c r="AD80" s="206" t="s">
        <v>400</v>
      </c>
      <c r="AE80" s="343" t="s">
        <v>351</v>
      </c>
      <c r="AF80" s="380" t="s">
        <v>596</v>
      </c>
      <c r="AG80" s="368">
        <v>63000000</v>
      </c>
      <c r="AH80" s="206" t="s">
        <v>55</v>
      </c>
      <c r="AI80" s="206" t="s">
        <v>49</v>
      </c>
      <c r="AJ80" s="206"/>
      <c r="AK80" s="206"/>
      <c r="AL80" s="345" t="s">
        <v>862</v>
      </c>
      <c r="AM80" s="599"/>
      <c r="AN80" s="599"/>
      <c r="AO80" s="599"/>
      <c r="AP80" s="599"/>
      <c r="AQ80" s="347"/>
      <c r="AR80" s="429"/>
      <c r="AS80" s="339" t="s">
        <v>264</v>
      </c>
      <c r="AT80" s="616"/>
      <c r="AU80" s="625"/>
      <c r="AV80" s="622"/>
      <c r="AW80" s="625"/>
      <c r="AX80" s="622"/>
      <c r="AY80" s="593"/>
      <c r="AZ80" s="622"/>
      <c r="BA80" s="593"/>
      <c r="BB80" s="602"/>
      <c r="BC80" s="593"/>
      <c r="BD80" s="602"/>
      <c r="BE80" s="593"/>
      <c r="BF80" s="339"/>
      <c r="BG80" s="339"/>
      <c r="BH80" s="339"/>
      <c r="BI80" s="339"/>
      <c r="BJ80" s="29" t="s">
        <v>920</v>
      </c>
      <c r="BK80" s="676" t="s">
        <v>1041</v>
      </c>
    </row>
    <row r="81" spans="1:63" ht="25.8" customHeight="1">
      <c r="A81" s="29" t="s">
        <v>257</v>
      </c>
      <c r="B81" s="29" t="s">
        <v>199</v>
      </c>
      <c r="C81" s="334" t="s">
        <v>361</v>
      </c>
      <c r="D81" s="29" t="s">
        <v>334</v>
      </c>
      <c r="E81" s="29" t="s">
        <v>264</v>
      </c>
      <c r="F81" s="378">
        <v>2024130010136</v>
      </c>
      <c r="G81" s="29" t="s">
        <v>323</v>
      </c>
      <c r="H81" s="339" t="s">
        <v>294</v>
      </c>
      <c r="I81" s="29" t="s">
        <v>411</v>
      </c>
      <c r="J81" s="353">
        <v>9736</v>
      </c>
      <c r="K81" s="379">
        <v>0.25</v>
      </c>
      <c r="L81" s="29" t="s">
        <v>298</v>
      </c>
      <c r="M81" s="339" t="s">
        <v>632</v>
      </c>
      <c r="N81" s="339" t="s">
        <v>801</v>
      </c>
      <c r="O81" s="339">
        <v>7166</v>
      </c>
      <c r="P81" s="340">
        <v>7000</v>
      </c>
      <c r="Q81" s="340">
        <v>429</v>
      </c>
      <c r="R81" s="353">
        <v>9307</v>
      </c>
      <c r="S81" s="353">
        <v>0</v>
      </c>
      <c r="T81" s="435">
        <v>0</v>
      </c>
      <c r="U81" s="337">
        <f t="shared" si="6"/>
        <v>9736</v>
      </c>
      <c r="V81" s="349">
        <v>1</v>
      </c>
      <c r="W81" s="341">
        <v>45660</v>
      </c>
      <c r="X81" s="341">
        <v>46022</v>
      </c>
      <c r="Y81" s="342">
        <f t="shared" si="7"/>
        <v>362</v>
      </c>
      <c r="Z81" s="29">
        <v>7000</v>
      </c>
      <c r="AA81" s="339" t="s">
        <v>352</v>
      </c>
      <c r="AB81" s="206" t="s">
        <v>360</v>
      </c>
      <c r="AC81" s="339" t="s">
        <v>399</v>
      </c>
      <c r="AD81" s="206" t="s">
        <v>400</v>
      </c>
      <c r="AE81" s="343" t="s">
        <v>351</v>
      </c>
      <c r="AF81" s="380" t="s">
        <v>686</v>
      </c>
      <c r="AG81" s="368">
        <v>204956339</v>
      </c>
      <c r="AH81" s="339" t="s">
        <v>53</v>
      </c>
      <c r="AI81" s="380" t="s">
        <v>679</v>
      </c>
      <c r="AJ81" s="206"/>
      <c r="AK81" s="206"/>
      <c r="AL81" s="206"/>
      <c r="AM81" s="599"/>
      <c r="AN81" s="599"/>
      <c r="AO81" s="599"/>
      <c r="AP81" s="599"/>
      <c r="AQ81" s="347"/>
      <c r="AR81" s="429"/>
      <c r="AS81" s="339" t="s">
        <v>264</v>
      </c>
      <c r="AT81" s="616"/>
      <c r="AU81" s="625"/>
      <c r="AV81" s="622"/>
      <c r="AW81" s="625"/>
      <c r="AX81" s="622"/>
      <c r="AY81" s="593"/>
      <c r="AZ81" s="622"/>
      <c r="BA81" s="593"/>
      <c r="BB81" s="602"/>
      <c r="BC81" s="593"/>
      <c r="BD81" s="602"/>
      <c r="BE81" s="593"/>
      <c r="BF81" s="339"/>
      <c r="BG81" s="339"/>
      <c r="BH81" s="339"/>
      <c r="BI81" s="339"/>
      <c r="BJ81" s="29" t="s">
        <v>920</v>
      </c>
      <c r="BK81" s="676"/>
    </row>
    <row r="82" spans="1:63" ht="25.8" customHeight="1">
      <c r="A82" s="29" t="s">
        <v>257</v>
      </c>
      <c r="B82" s="29" t="s">
        <v>199</v>
      </c>
      <c r="C82" s="334" t="s">
        <v>361</v>
      </c>
      <c r="D82" s="29" t="s">
        <v>334</v>
      </c>
      <c r="E82" s="29" t="s">
        <v>264</v>
      </c>
      <c r="F82" s="378">
        <v>2024130010136</v>
      </c>
      <c r="G82" s="29" t="s">
        <v>323</v>
      </c>
      <c r="H82" s="339" t="s">
        <v>294</v>
      </c>
      <c r="I82" s="29" t="s">
        <v>411</v>
      </c>
      <c r="J82" s="353">
        <v>9736</v>
      </c>
      <c r="K82" s="379">
        <v>0.25</v>
      </c>
      <c r="L82" s="29" t="s">
        <v>298</v>
      </c>
      <c r="M82" s="339" t="s">
        <v>632</v>
      </c>
      <c r="N82" s="339" t="s">
        <v>801</v>
      </c>
      <c r="O82" s="339">
        <v>1</v>
      </c>
      <c r="P82" s="340">
        <v>1</v>
      </c>
      <c r="Q82" s="340">
        <v>0</v>
      </c>
      <c r="R82" s="353">
        <v>0</v>
      </c>
      <c r="S82" s="353">
        <v>0</v>
      </c>
      <c r="T82" s="435">
        <v>1</v>
      </c>
      <c r="U82" s="337">
        <f t="shared" si="6"/>
        <v>1</v>
      </c>
      <c r="V82" s="349">
        <f t="shared" si="4"/>
        <v>1</v>
      </c>
      <c r="W82" s="341">
        <v>45660</v>
      </c>
      <c r="X82" s="341">
        <v>46022</v>
      </c>
      <c r="Y82" s="342">
        <f t="shared" si="7"/>
        <v>362</v>
      </c>
      <c r="Z82" s="29">
        <v>7000</v>
      </c>
      <c r="AA82" s="339" t="s">
        <v>352</v>
      </c>
      <c r="AB82" s="206" t="s">
        <v>360</v>
      </c>
      <c r="AC82" s="339" t="s">
        <v>399</v>
      </c>
      <c r="AD82" s="206" t="s">
        <v>400</v>
      </c>
      <c r="AE82" s="343" t="s">
        <v>351</v>
      </c>
      <c r="AF82" s="380" t="s">
        <v>670</v>
      </c>
      <c r="AG82" s="368">
        <v>51000000</v>
      </c>
      <c r="AH82" s="339" t="s">
        <v>52</v>
      </c>
      <c r="AI82" s="206" t="s">
        <v>49</v>
      </c>
      <c r="AJ82" s="206"/>
      <c r="AK82" s="206"/>
      <c r="AL82" s="206"/>
      <c r="AM82" s="599"/>
      <c r="AN82" s="599"/>
      <c r="AO82" s="599"/>
      <c r="AP82" s="599"/>
      <c r="AQ82" s="347"/>
      <c r="AR82" s="429"/>
      <c r="AS82" s="339" t="s">
        <v>264</v>
      </c>
      <c r="AT82" s="616"/>
      <c r="AU82" s="625"/>
      <c r="AV82" s="622"/>
      <c r="AW82" s="625"/>
      <c r="AX82" s="622"/>
      <c r="AY82" s="593"/>
      <c r="AZ82" s="622"/>
      <c r="BA82" s="593"/>
      <c r="BB82" s="602"/>
      <c r="BC82" s="593"/>
      <c r="BD82" s="602"/>
      <c r="BE82" s="593"/>
      <c r="BF82" s="339"/>
      <c r="BG82" s="339"/>
      <c r="BH82" s="339"/>
      <c r="BI82" s="339"/>
      <c r="BJ82" s="29" t="s">
        <v>920</v>
      </c>
      <c r="BK82" s="676"/>
    </row>
    <row r="83" spans="1:63" ht="25.8" customHeight="1">
      <c r="A83" s="29" t="s">
        <v>257</v>
      </c>
      <c r="B83" s="29" t="s">
        <v>199</v>
      </c>
      <c r="C83" s="334" t="s">
        <v>361</v>
      </c>
      <c r="D83" s="29" t="s">
        <v>334</v>
      </c>
      <c r="E83" s="29" t="s">
        <v>264</v>
      </c>
      <c r="F83" s="378">
        <v>2024130010136</v>
      </c>
      <c r="G83" s="29" t="s">
        <v>323</v>
      </c>
      <c r="H83" s="339" t="s">
        <v>294</v>
      </c>
      <c r="I83" s="29" t="s">
        <v>411</v>
      </c>
      <c r="J83" s="353">
        <v>9736</v>
      </c>
      <c r="K83" s="379">
        <v>0.25</v>
      </c>
      <c r="L83" s="29" t="s">
        <v>298</v>
      </c>
      <c r="M83" s="339" t="s">
        <v>632</v>
      </c>
      <c r="N83" s="339" t="s">
        <v>801</v>
      </c>
      <c r="O83" s="339">
        <v>1</v>
      </c>
      <c r="P83" s="340">
        <v>1</v>
      </c>
      <c r="Q83" s="340">
        <v>0</v>
      </c>
      <c r="R83" s="353">
        <v>0</v>
      </c>
      <c r="S83" s="353">
        <v>0</v>
      </c>
      <c r="T83" s="435">
        <v>1</v>
      </c>
      <c r="U83" s="337">
        <f t="shared" si="6"/>
        <v>1</v>
      </c>
      <c r="V83" s="349">
        <f t="shared" si="4"/>
        <v>1</v>
      </c>
      <c r="W83" s="341">
        <v>45660</v>
      </c>
      <c r="X83" s="341">
        <v>46022</v>
      </c>
      <c r="Y83" s="342">
        <f t="shared" si="7"/>
        <v>362</v>
      </c>
      <c r="Z83" s="29">
        <v>7000</v>
      </c>
      <c r="AA83" s="339" t="s">
        <v>352</v>
      </c>
      <c r="AB83" s="206" t="s">
        <v>360</v>
      </c>
      <c r="AC83" s="339" t="s">
        <v>399</v>
      </c>
      <c r="AD83" s="206" t="s">
        <v>400</v>
      </c>
      <c r="AE83" s="343" t="s">
        <v>351</v>
      </c>
      <c r="AF83" s="380" t="s">
        <v>602</v>
      </c>
      <c r="AG83" s="368">
        <v>25000000</v>
      </c>
      <c r="AH83" s="339" t="s">
        <v>56</v>
      </c>
      <c r="AI83" s="206" t="s">
        <v>49</v>
      </c>
      <c r="AJ83" s="206"/>
      <c r="AK83" s="206"/>
      <c r="AL83" s="206"/>
      <c r="AM83" s="599"/>
      <c r="AN83" s="599"/>
      <c r="AO83" s="599"/>
      <c r="AP83" s="599"/>
      <c r="AQ83" s="347"/>
      <c r="AR83" s="429"/>
      <c r="AS83" s="339" t="s">
        <v>264</v>
      </c>
      <c r="AT83" s="616"/>
      <c r="AU83" s="625"/>
      <c r="AV83" s="622"/>
      <c r="AW83" s="625"/>
      <c r="AX83" s="622"/>
      <c r="AY83" s="593"/>
      <c r="AZ83" s="622"/>
      <c r="BA83" s="593"/>
      <c r="BB83" s="602"/>
      <c r="BC83" s="593"/>
      <c r="BD83" s="602"/>
      <c r="BE83" s="593"/>
      <c r="BF83" s="339"/>
      <c r="BG83" s="339"/>
      <c r="BH83" s="339"/>
      <c r="BI83" s="339"/>
      <c r="BJ83" s="29" t="s">
        <v>920</v>
      </c>
      <c r="BK83" s="676"/>
    </row>
    <row r="84" spans="1:63" ht="25.8" customHeight="1">
      <c r="A84" s="29" t="s">
        <v>257</v>
      </c>
      <c r="B84" s="29" t="s">
        <v>199</v>
      </c>
      <c r="C84" s="334" t="s">
        <v>361</v>
      </c>
      <c r="D84" s="29" t="s">
        <v>334</v>
      </c>
      <c r="E84" s="29" t="s">
        <v>264</v>
      </c>
      <c r="F84" s="378">
        <v>2024130010136</v>
      </c>
      <c r="G84" s="29" t="s">
        <v>323</v>
      </c>
      <c r="H84" s="339" t="s">
        <v>294</v>
      </c>
      <c r="I84" s="29" t="s">
        <v>411</v>
      </c>
      <c r="J84" s="353">
        <v>9736</v>
      </c>
      <c r="K84" s="379">
        <v>0.25</v>
      </c>
      <c r="L84" s="29" t="s">
        <v>299</v>
      </c>
      <c r="M84" s="206"/>
      <c r="N84" s="339" t="s">
        <v>802</v>
      </c>
      <c r="O84" s="339">
        <v>1</v>
      </c>
      <c r="P84" s="340">
        <v>1</v>
      </c>
      <c r="Q84" s="340">
        <v>0</v>
      </c>
      <c r="R84" s="353">
        <v>0</v>
      </c>
      <c r="S84" s="353">
        <v>0</v>
      </c>
      <c r="T84" s="435">
        <v>1</v>
      </c>
      <c r="U84" s="337">
        <f t="shared" si="6"/>
        <v>1</v>
      </c>
      <c r="V84" s="349">
        <f t="shared" si="4"/>
        <v>1</v>
      </c>
      <c r="W84" s="341">
        <v>45660</v>
      </c>
      <c r="X84" s="341">
        <v>46022</v>
      </c>
      <c r="Y84" s="342">
        <f t="shared" si="7"/>
        <v>362</v>
      </c>
      <c r="Z84" s="29">
        <v>7000</v>
      </c>
      <c r="AA84" s="339" t="s">
        <v>352</v>
      </c>
      <c r="AB84" s="206" t="s">
        <v>360</v>
      </c>
      <c r="AC84" s="339" t="s">
        <v>401</v>
      </c>
      <c r="AD84" s="339" t="s">
        <v>402</v>
      </c>
      <c r="AE84" s="343" t="s">
        <v>351</v>
      </c>
      <c r="AF84" s="380" t="s">
        <v>596</v>
      </c>
      <c r="AG84" s="368">
        <v>31000000</v>
      </c>
      <c r="AH84" s="206" t="s">
        <v>55</v>
      </c>
      <c r="AI84" s="206" t="s">
        <v>49</v>
      </c>
      <c r="AJ84" s="206"/>
      <c r="AK84" s="206"/>
      <c r="AL84" s="345" t="s">
        <v>863</v>
      </c>
      <c r="AM84" s="599"/>
      <c r="AN84" s="599"/>
      <c r="AO84" s="599"/>
      <c r="AP84" s="599"/>
      <c r="AQ84" s="347"/>
      <c r="AR84" s="429"/>
      <c r="AS84" s="339" t="s">
        <v>264</v>
      </c>
      <c r="AT84" s="616"/>
      <c r="AU84" s="625"/>
      <c r="AV84" s="622"/>
      <c r="AW84" s="625"/>
      <c r="AX84" s="622"/>
      <c r="AY84" s="593"/>
      <c r="AZ84" s="622"/>
      <c r="BA84" s="593"/>
      <c r="BB84" s="602"/>
      <c r="BC84" s="593"/>
      <c r="BD84" s="602"/>
      <c r="BE84" s="593"/>
      <c r="BF84" s="339"/>
      <c r="BG84" s="339"/>
      <c r="BH84" s="339"/>
      <c r="BI84" s="339"/>
      <c r="BJ84" s="29" t="s">
        <v>919</v>
      </c>
      <c r="BK84" s="676"/>
    </row>
    <row r="85" spans="1:63" ht="25.8" customHeight="1">
      <c r="A85" s="29" t="s">
        <v>257</v>
      </c>
      <c r="B85" s="29" t="s">
        <v>199</v>
      </c>
      <c r="C85" s="334" t="s">
        <v>361</v>
      </c>
      <c r="D85" s="29" t="s">
        <v>334</v>
      </c>
      <c r="E85" s="29" t="s">
        <v>264</v>
      </c>
      <c r="F85" s="378">
        <v>2024130010136</v>
      </c>
      <c r="G85" s="29" t="s">
        <v>323</v>
      </c>
      <c r="H85" s="339" t="s">
        <v>294</v>
      </c>
      <c r="I85" s="350" t="s">
        <v>412</v>
      </c>
      <c r="J85" s="353">
        <v>171</v>
      </c>
      <c r="K85" s="379">
        <v>0.25</v>
      </c>
      <c r="L85" s="29" t="s">
        <v>297</v>
      </c>
      <c r="M85" s="339"/>
      <c r="N85" s="339" t="s">
        <v>803</v>
      </c>
      <c r="O85" s="339">
        <v>0</v>
      </c>
      <c r="P85" s="340">
        <v>1</v>
      </c>
      <c r="Q85" s="340">
        <v>0</v>
      </c>
      <c r="R85" s="353">
        <v>0</v>
      </c>
      <c r="S85" s="353">
        <v>0</v>
      </c>
      <c r="T85" s="435">
        <v>1</v>
      </c>
      <c r="U85" s="337">
        <f t="shared" si="6"/>
        <v>1</v>
      </c>
      <c r="V85" s="349">
        <f t="shared" si="4"/>
        <v>1</v>
      </c>
      <c r="W85" s="341">
        <v>45660</v>
      </c>
      <c r="X85" s="341">
        <v>46022</v>
      </c>
      <c r="Y85" s="342">
        <f t="shared" si="7"/>
        <v>362</v>
      </c>
      <c r="Z85" s="29">
        <v>7000</v>
      </c>
      <c r="AA85" s="339" t="s">
        <v>352</v>
      </c>
      <c r="AB85" s="206" t="s">
        <v>360</v>
      </c>
      <c r="AC85" s="339" t="s">
        <v>403</v>
      </c>
      <c r="AD85" s="339" t="s">
        <v>404</v>
      </c>
      <c r="AE85" s="343" t="s">
        <v>351</v>
      </c>
      <c r="AF85" s="380" t="s">
        <v>596</v>
      </c>
      <c r="AG85" s="368">
        <v>31000000</v>
      </c>
      <c r="AH85" s="206" t="s">
        <v>55</v>
      </c>
      <c r="AI85" s="206" t="s">
        <v>49</v>
      </c>
      <c r="AJ85" s="206"/>
      <c r="AK85" s="206"/>
      <c r="AL85" s="345" t="s">
        <v>864</v>
      </c>
      <c r="AM85" s="599"/>
      <c r="AN85" s="599"/>
      <c r="AO85" s="599"/>
      <c r="AP85" s="599"/>
      <c r="AQ85" s="347"/>
      <c r="AR85" s="429"/>
      <c r="AS85" s="339" t="s">
        <v>264</v>
      </c>
      <c r="AT85" s="616"/>
      <c r="AU85" s="625"/>
      <c r="AV85" s="622"/>
      <c r="AW85" s="625"/>
      <c r="AX85" s="622"/>
      <c r="AY85" s="593"/>
      <c r="AZ85" s="622"/>
      <c r="BA85" s="593"/>
      <c r="BB85" s="602"/>
      <c r="BC85" s="593"/>
      <c r="BD85" s="602"/>
      <c r="BE85" s="593"/>
      <c r="BF85" s="339"/>
      <c r="BG85" s="339"/>
      <c r="BH85" s="339"/>
      <c r="BI85" s="339"/>
      <c r="BJ85" s="29" t="s">
        <v>921</v>
      </c>
      <c r="BK85" s="464" t="s">
        <v>1040</v>
      </c>
    </row>
    <row r="86" spans="1:63" ht="25.8" customHeight="1">
      <c r="A86" s="29" t="s">
        <v>257</v>
      </c>
      <c r="B86" s="29" t="s">
        <v>199</v>
      </c>
      <c r="C86" s="334" t="s">
        <v>361</v>
      </c>
      <c r="D86" s="29" t="s">
        <v>217</v>
      </c>
      <c r="E86" s="29" t="s">
        <v>264</v>
      </c>
      <c r="F86" s="378">
        <v>2024130010136</v>
      </c>
      <c r="G86" s="29" t="s">
        <v>323</v>
      </c>
      <c r="H86" s="339" t="s">
        <v>294</v>
      </c>
      <c r="I86" s="350" t="s">
        <v>412</v>
      </c>
      <c r="J86" s="353">
        <v>171</v>
      </c>
      <c r="K86" s="379">
        <v>0.1</v>
      </c>
      <c r="L86" s="29" t="s">
        <v>296</v>
      </c>
      <c r="M86" s="339"/>
      <c r="N86" s="339" t="s">
        <v>663</v>
      </c>
      <c r="O86" s="339">
        <v>38</v>
      </c>
      <c r="P86" s="340">
        <v>40</v>
      </c>
      <c r="Q86" s="340">
        <v>2</v>
      </c>
      <c r="R86" s="353">
        <v>18</v>
      </c>
      <c r="S86" s="353">
        <v>0</v>
      </c>
      <c r="T86" s="435">
        <v>2</v>
      </c>
      <c r="U86" s="337">
        <f t="shared" si="6"/>
        <v>22</v>
      </c>
      <c r="V86" s="349">
        <f t="shared" si="4"/>
        <v>0.55000000000000004</v>
      </c>
      <c r="W86" s="341">
        <v>45660</v>
      </c>
      <c r="X86" s="341">
        <v>46022</v>
      </c>
      <c r="Y86" s="342">
        <f t="shared" si="7"/>
        <v>362</v>
      </c>
      <c r="Z86" s="206" t="s">
        <v>350</v>
      </c>
      <c r="AA86" s="339" t="s">
        <v>352</v>
      </c>
      <c r="AB86" s="206" t="s">
        <v>360</v>
      </c>
      <c r="AC86" s="339" t="s">
        <v>383</v>
      </c>
      <c r="AD86" s="339" t="s">
        <v>384</v>
      </c>
      <c r="AE86" s="343" t="s">
        <v>351</v>
      </c>
      <c r="AF86" s="380" t="s">
        <v>596</v>
      </c>
      <c r="AG86" s="368">
        <v>31000000</v>
      </c>
      <c r="AH86" s="206" t="s">
        <v>55</v>
      </c>
      <c r="AI86" s="206" t="s">
        <v>49</v>
      </c>
      <c r="AJ86" s="206"/>
      <c r="AK86" s="206"/>
      <c r="AL86" s="345" t="s">
        <v>865</v>
      </c>
      <c r="AM86" s="600"/>
      <c r="AN86" s="600"/>
      <c r="AO86" s="600"/>
      <c r="AP86" s="600"/>
      <c r="AQ86" s="356"/>
      <c r="AR86" s="430"/>
      <c r="AS86" s="339" t="s">
        <v>264</v>
      </c>
      <c r="AT86" s="617"/>
      <c r="AU86" s="626"/>
      <c r="AV86" s="623"/>
      <c r="AW86" s="626"/>
      <c r="AX86" s="623"/>
      <c r="AY86" s="594"/>
      <c r="AZ86" s="623"/>
      <c r="BA86" s="594"/>
      <c r="BB86" s="603"/>
      <c r="BC86" s="594"/>
      <c r="BD86" s="603"/>
      <c r="BE86" s="594"/>
      <c r="BF86" s="339"/>
      <c r="BG86" s="339"/>
      <c r="BH86" s="339"/>
      <c r="BI86" s="339"/>
      <c r="BJ86" s="29" t="s">
        <v>921</v>
      </c>
      <c r="BK86" s="464" t="s">
        <v>1041</v>
      </c>
    </row>
    <row r="87" spans="1:63" ht="25.8" customHeight="1">
      <c r="A87" s="29"/>
      <c r="B87" s="29"/>
      <c r="C87" s="334"/>
      <c r="D87" s="29"/>
      <c r="E87" s="663" t="s">
        <v>771</v>
      </c>
      <c r="F87" s="664"/>
      <c r="G87" s="664"/>
      <c r="H87" s="664"/>
      <c r="I87" s="664"/>
      <c r="J87" s="664"/>
      <c r="K87" s="664"/>
      <c r="L87" s="664"/>
      <c r="M87" s="664"/>
      <c r="N87" s="664"/>
      <c r="O87" s="664"/>
      <c r="P87" s="664"/>
      <c r="Q87" s="664"/>
      <c r="R87" s="665"/>
      <c r="S87" s="357"/>
      <c r="T87" s="357"/>
      <c r="U87" s="337"/>
      <c r="V87" s="289">
        <f>AVERAGE(V75:V86)</f>
        <v>0.86818181818181828</v>
      </c>
      <c r="W87" s="341"/>
      <c r="X87" s="341"/>
      <c r="Y87" s="342"/>
      <c r="Z87" s="206"/>
      <c r="AA87" s="339"/>
      <c r="AB87" s="206"/>
      <c r="AC87" s="339"/>
      <c r="AD87" s="339"/>
      <c r="AE87" s="343"/>
      <c r="AF87" s="380"/>
      <c r="AG87" s="368"/>
      <c r="AH87" s="206"/>
      <c r="AI87" s="206"/>
      <c r="AJ87" s="206"/>
      <c r="AK87" s="206"/>
      <c r="AL87" s="206"/>
      <c r="AM87" s="381">
        <f>SUM(AM75)</f>
        <v>565956339</v>
      </c>
      <c r="AN87" s="366">
        <f>SUM(AN75)</f>
        <v>565956339</v>
      </c>
      <c r="AO87" s="366">
        <f>SUM(AO75)</f>
        <v>565956339</v>
      </c>
      <c r="AP87" s="366">
        <f>SUM(AP75)</f>
        <v>675760281</v>
      </c>
      <c r="AQ87" s="471">
        <f>SUM(AQ75:AQ86)</f>
        <v>675760281</v>
      </c>
      <c r="AR87" s="348"/>
      <c r="AS87" s="339"/>
      <c r="AT87" s="339">
        <f>SUM(AT75)</f>
        <v>0</v>
      </c>
      <c r="AU87" s="363">
        <f>+AU75</f>
        <v>0</v>
      </c>
      <c r="AV87" s="339">
        <f>SUM(AV75)</f>
        <v>0</v>
      </c>
      <c r="AW87" s="363">
        <f>+AW75</f>
        <v>0</v>
      </c>
      <c r="AX87" s="373">
        <f>SUM(AX75)</f>
        <v>47058832</v>
      </c>
      <c r="AY87" s="365">
        <f>+AY75</f>
        <v>8.31492268169471E-2</v>
      </c>
      <c r="AZ87" s="373">
        <f>SUM(AZ75)</f>
        <v>47058832</v>
      </c>
      <c r="BA87" s="365">
        <f>+BA75</f>
        <v>8.31492268169471E-2</v>
      </c>
      <c r="BB87" s="373">
        <f>SUM(BB75)</f>
        <v>47058832</v>
      </c>
      <c r="BC87" s="365">
        <f>+BC75</f>
        <v>6.9638351532531104E-2</v>
      </c>
      <c r="BD87" s="373">
        <f>SUM(BD75)</f>
        <v>47058832</v>
      </c>
      <c r="BE87" s="365">
        <f>+BE75</f>
        <v>6.9638351532531104E-2</v>
      </c>
      <c r="BF87" s="373">
        <f>SUM(BF75:BF86)</f>
        <v>509708750</v>
      </c>
      <c r="BG87" s="434">
        <f>+BF87/AQ87</f>
        <v>0.75427450285436348</v>
      </c>
      <c r="BH87" s="373">
        <f>SUM(BH75:BH86)</f>
        <v>509708750</v>
      </c>
      <c r="BI87" s="434">
        <f>+BH87/AQ87</f>
        <v>0.75427450285436348</v>
      </c>
      <c r="BJ87" s="367"/>
    </row>
    <row r="88" spans="1:63" ht="25.8" customHeight="1">
      <c r="A88" s="29" t="s">
        <v>257</v>
      </c>
      <c r="B88" s="29" t="s">
        <v>200</v>
      </c>
      <c r="C88" s="334" t="s">
        <v>362</v>
      </c>
      <c r="D88" s="29" t="s">
        <v>218</v>
      </c>
      <c r="E88" s="29" t="s">
        <v>265</v>
      </c>
      <c r="F88" s="335">
        <v>2024130010135</v>
      </c>
      <c r="G88" s="29" t="s">
        <v>273</v>
      </c>
      <c r="H88" s="29" t="s">
        <v>286</v>
      </c>
      <c r="I88" s="29" t="s">
        <v>416</v>
      </c>
      <c r="J88" s="353">
        <v>5261</v>
      </c>
      <c r="K88" s="379">
        <v>1</v>
      </c>
      <c r="L88" s="339" t="s">
        <v>304</v>
      </c>
      <c r="M88" s="206"/>
      <c r="N88" s="339" t="s">
        <v>637</v>
      </c>
      <c r="O88" s="339">
        <v>15578</v>
      </c>
      <c r="P88" s="340">
        <v>15500</v>
      </c>
      <c r="Q88" s="455">
        <f t="shared" ref="Q88:Q98" si="8">129+135</f>
        <v>264</v>
      </c>
      <c r="R88" s="396">
        <f t="shared" ref="R88:R98" si="9">(5265-Q88)</f>
        <v>5001</v>
      </c>
      <c r="S88" s="353">
        <v>3468</v>
      </c>
      <c r="T88" s="435">
        <v>5361</v>
      </c>
      <c r="U88" s="337">
        <f t="shared" si="6"/>
        <v>14094</v>
      </c>
      <c r="V88" s="349">
        <f>+U88/P88</f>
        <v>0.90929032258064513</v>
      </c>
      <c r="W88" s="341">
        <v>45660</v>
      </c>
      <c r="X88" s="341">
        <v>46022</v>
      </c>
      <c r="Y88" s="342">
        <f t="shared" si="7"/>
        <v>362</v>
      </c>
      <c r="Z88" s="29">
        <v>15250</v>
      </c>
      <c r="AA88" s="339" t="s">
        <v>352</v>
      </c>
      <c r="AB88" s="206" t="s">
        <v>360</v>
      </c>
      <c r="AC88" s="29" t="s">
        <v>448</v>
      </c>
      <c r="AD88" s="29" t="s">
        <v>449</v>
      </c>
      <c r="AE88" s="343" t="s">
        <v>351</v>
      </c>
      <c r="AF88" s="380" t="s">
        <v>593</v>
      </c>
      <c r="AG88" s="368">
        <v>180000000</v>
      </c>
      <c r="AH88" s="206" t="s">
        <v>55</v>
      </c>
      <c r="AI88" s="206" t="s">
        <v>51</v>
      </c>
      <c r="AJ88" s="206"/>
      <c r="AK88" s="206"/>
      <c r="AL88" s="345" t="s">
        <v>866</v>
      </c>
      <c r="AM88" s="613">
        <v>4017092532</v>
      </c>
      <c r="AN88" s="613">
        <v>4193305880.3099999</v>
      </c>
      <c r="AO88" s="613">
        <v>4193305880.3099999</v>
      </c>
      <c r="AP88" s="613">
        <v>4193305880.3099999</v>
      </c>
      <c r="AQ88" s="433">
        <v>3329310000</v>
      </c>
      <c r="AR88" s="470" t="s">
        <v>1054</v>
      </c>
      <c r="AS88" s="339" t="s">
        <v>265</v>
      </c>
      <c r="AT88" s="615">
        <v>0</v>
      </c>
      <c r="AU88" s="615">
        <v>0</v>
      </c>
      <c r="AV88" s="615">
        <v>0</v>
      </c>
      <c r="AW88" s="615">
        <v>0</v>
      </c>
      <c r="AX88" s="615">
        <v>2913327064.8299999</v>
      </c>
      <c r="AY88" s="592">
        <f>+AX88/AO88</f>
        <v>0.69475663068362314</v>
      </c>
      <c r="AZ88" s="618">
        <v>2314975159.8299999</v>
      </c>
      <c r="BA88" s="592">
        <f>+AZ88/AO88</f>
        <v>0.5520644631960071</v>
      </c>
      <c r="BB88" s="604">
        <v>3313127064.8299999</v>
      </c>
      <c r="BC88" s="610">
        <f>+BB88/AP88</f>
        <v>0.79009906727459367</v>
      </c>
      <c r="BD88" s="604">
        <v>3313127064.8299999</v>
      </c>
      <c r="BE88" s="610">
        <f>+BD88/AP88</f>
        <v>0.79009906727459367</v>
      </c>
      <c r="BF88" s="433">
        <v>16571000</v>
      </c>
      <c r="BG88" s="339"/>
      <c r="BH88" s="433">
        <v>16571000</v>
      </c>
      <c r="BI88" s="339"/>
      <c r="BJ88" s="29" t="s">
        <v>923</v>
      </c>
      <c r="BK88" s="677" t="s">
        <v>1042</v>
      </c>
    </row>
    <row r="89" spans="1:63" ht="25.8" customHeight="1">
      <c r="A89" s="29" t="s">
        <v>257</v>
      </c>
      <c r="B89" s="29" t="s">
        <v>200</v>
      </c>
      <c r="C89" s="334" t="s">
        <v>362</v>
      </c>
      <c r="D89" s="29" t="s">
        <v>218</v>
      </c>
      <c r="E89" s="29" t="s">
        <v>265</v>
      </c>
      <c r="F89" s="335">
        <v>2024130010135</v>
      </c>
      <c r="G89" s="29" t="s">
        <v>273</v>
      </c>
      <c r="H89" s="29" t="s">
        <v>286</v>
      </c>
      <c r="I89" s="29" t="s">
        <v>416</v>
      </c>
      <c r="J89" s="353">
        <v>5261</v>
      </c>
      <c r="K89" s="379">
        <v>1</v>
      </c>
      <c r="L89" s="339" t="s">
        <v>304</v>
      </c>
      <c r="M89" s="206"/>
      <c r="N89" s="339" t="s">
        <v>637</v>
      </c>
      <c r="O89" s="339">
        <v>15578</v>
      </c>
      <c r="P89" s="340">
        <v>15250</v>
      </c>
      <c r="Q89" s="455">
        <f t="shared" si="8"/>
        <v>264</v>
      </c>
      <c r="R89" s="396">
        <f t="shared" si="9"/>
        <v>5001</v>
      </c>
      <c r="S89" s="353">
        <v>3468</v>
      </c>
      <c r="T89" s="435">
        <v>5361</v>
      </c>
      <c r="U89" s="337">
        <f t="shared" si="6"/>
        <v>14094</v>
      </c>
      <c r="V89" s="349">
        <f t="shared" ref="V89:V98" si="10">+U89/P89</f>
        <v>0.92419672131147546</v>
      </c>
      <c r="W89" s="341">
        <v>45660</v>
      </c>
      <c r="X89" s="341">
        <v>46022</v>
      </c>
      <c r="Y89" s="342">
        <f t="shared" si="7"/>
        <v>362</v>
      </c>
      <c r="Z89" s="29">
        <v>15250</v>
      </c>
      <c r="AA89" s="339" t="s">
        <v>352</v>
      </c>
      <c r="AB89" s="206" t="s">
        <v>360</v>
      </c>
      <c r="AC89" s="29" t="s">
        <v>448</v>
      </c>
      <c r="AD89" s="29" t="s">
        <v>449</v>
      </c>
      <c r="AE89" s="343" t="s">
        <v>351</v>
      </c>
      <c r="AF89" s="380" t="s">
        <v>669</v>
      </c>
      <c r="AG89" s="368">
        <v>300000000</v>
      </c>
      <c r="AH89" s="339" t="s">
        <v>53</v>
      </c>
      <c r="AI89" s="206" t="s">
        <v>49</v>
      </c>
      <c r="AJ89" s="206"/>
      <c r="AK89" s="206"/>
      <c r="AL89" s="345" t="s">
        <v>867</v>
      </c>
      <c r="AM89" s="596"/>
      <c r="AN89" s="596"/>
      <c r="AO89" s="596"/>
      <c r="AP89" s="596"/>
      <c r="AQ89" s="433">
        <v>1675853992</v>
      </c>
      <c r="AR89" s="470" t="s">
        <v>1056</v>
      </c>
      <c r="AS89" s="339" t="s">
        <v>265</v>
      </c>
      <c r="AT89" s="616"/>
      <c r="AU89" s="616"/>
      <c r="AV89" s="616"/>
      <c r="AW89" s="616"/>
      <c r="AX89" s="616"/>
      <c r="AY89" s="593"/>
      <c r="AZ89" s="619"/>
      <c r="BA89" s="593"/>
      <c r="BB89" s="605"/>
      <c r="BC89" s="611"/>
      <c r="BD89" s="605"/>
      <c r="BE89" s="611"/>
      <c r="BF89" s="433">
        <v>3298274292</v>
      </c>
      <c r="BG89" s="339"/>
      <c r="BH89" s="433">
        <v>3298274292</v>
      </c>
      <c r="BI89" s="339"/>
      <c r="BJ89" s="29" t="s">
        <v>923</v>
      </c>
      <c r="BK89" s="678"/>
    </row>
    <row r="90" spans="1:63" ht="25.8" customHeight="1">
      <c r="A90" s="29" t="s">
        <v>257</v>
      </c>
      <c r="B90" s="29" t="s">
        <v>200</v>
      </c>
      <c r="C90" s="334" t="s">
        <v>362</v>
      </c>
      <c r="D90" s="29" t="s">
        <v>218</v>
      </c>
      <c r="E90" s="29" t="s">
        <v>265</v>
      </c>
      <c r="F90" s="335">
        <v>2024130010135</v>
      </c>
      <c r="G90" s="29" t="s">
        <v>273</v>
      </c>
      <c r="H90" s="29" t="s">
        <v>286</v>
      </c>
      <c r="I90" s="29" t="s">
        <v>416</v>
      </c>
      <c r="J90" s="353">
        <v>5261</v>
      </c>
      <c r="K90" s="379">
        <v>1</v>
      </c>
      <c r="L90" s="339" t="s">
        <v>668</v>
      </c>
      <c r="M90" s="206"/>
      <c r="N90" s="339" t="s">
        <v>804</v>
      </c>
      <c r="O90" s="339">
        <v>15578</v>
      </c>
      <c r="P90" s="340">
        <v>15250</v>
      </c>
      <c r="Q90" s="455">
        <f t="shared" si="8"/>
        <v>264</v>
      </c>
      <c r="R90" s="396">
        <f t="shared" si="9"/>
        <v>5001</v>
      </c>
      <c r="S90" s="353">
        <v>3468</v>
      </c>
      <c r="T90" s="435">
        <v>5361</v>
      </c>
      <c r="U90" s="337">
        <f t="shared" si="6"/>
        <v>14094</v>
      </c>
      <c r="V90" s="349">
        <f t="shared" si="10"/>
        <v>0.92419672131147546</v>
      </c>
      <c r="W90" s="341">
        <v>45660</v>
      </c>
      <c r="X90" s="341">
        <v>46022</v>
      </c>
      <c r="Y90" s="342">
        <f t="shared" si="7"/>
        <v>362</v>
      </c>
      <c r="Z90" s="29">
        <v>15250</v>
      </c>
      <c r="AA90" s="339" t="s">
        <v>352</v>
      </c>
      <c r="AB90" s="206" t="s">
        <v>360</v>
      </c>
      <c r="AC90" s="29" t="s">
        <v>448</v>
      </c>
      <c r="AD90" s="29" t="s">
        <v>449</v>
      </c>
      <c r="AE90" s="343" t="s">
        <v>351</v>
      </c>
      <c r="AF90" s="380" t="s">
        <v>670</v>
      </c>
      <c r="AG90" s="368">
        <v>80000000</v>
      </c>
      <c r="AH90" s="339" t="s">
        <v>52</v>
      </c>
      <c r="AI90" s="206" t="s">
        <v>49</v>
      </c>
      <c r="AJ90" s="206"/>
      <c r="AK90" s="206"/>
      <c r="AL90" s="345" t="s">
        <v>868</v>
      </c>
      <c r="AM90" s="596"/>
      <c r="AN90" s="596"/>
      <c r="AO90" s="596"/>
      <c r="AP90" s="596"/>
      <c r="AQ90" s="433">
        <v>28441651</v>
      </c>
      <c r="AR90" s="470" t="s">
        <v>1058</v>
      </c>
      <c r="AS90" s="339" t="s">
        <v>265</v>
      </c>
      <c r="AT90" s="616"/>
      <c r="AU90" s="616"/>
      <c r="AV90" s="616"/>
      <c r="AW90" s="616"/>
      <c r="AX90" s="616"/>
      <c r="AY90" s="593"/>
      <c r="AZ90" s="619"/>
      <c r="BA90" s="593"/>
      <c r="BB90" s="605"/>
      <c r="BC90" s="611"/>
      <c r="BD90" s="605"/>
      <c r="BE90" s="611"/>
      <c r="BF90" s="433">
        <v>870146602</v>
      </c>
      <c r="BG90" s="339"/>
      <c r="BH90" s="433">
        <v>870146602</v>
      </c>
      <c r="BI90" s="339"/>
      <c r="BJ90" s="29" t="s">
        <v>923</v>
      </c>
      <c r="BK90" s="678"/>
    </row>
    <row r="91" spans="1:63" ht="25.8" customHeight="1">
      <c r="A91" s="29" t="s">
        <v>257</v>
      </c>
      <c r="B91" s="29" t="s">
        <v>200</v>
      </c>
      <c r="C91" s="334" t="s">
        <v>362</v>
      </c>
      <c r="D91" s="29" t="s">
        <v>218</v>
      </c>
      <c r="E91" s="29" t="s">
        <v>265</v>
      </c>
      <c r="F91" s="335">
        <v>2024130010135</v>
      </c>
      <c r="G91" s="29" t="s">
        <v>273</v>
      </c>
      <c r="H91" s="29" t="s">
        <v>286</v>
      </c>
      <c r="I91" s="29" t="s">
        <v>416</v>
      </c>
      <c r="J91" s="353">
        <v>5261</v>
      </c>
      <c r="K91" s="379">
        <v>1</v>
      </c>
      <c r="L91" s="339" t="s">
        <v>302</v>
      </c>
      <c r="M91" s="206"/>
      <c r="N91" s="339" t="s">
        <v>805</v>
      </c>
      <c r="O91" s="339">
        <v>15578</v>
      </c>
      <c r="P91" s="340">
        <v>15250</v>
      </c>
      <c r="Q91" s="455">
        <f t="shared" si="8"/>
        <v>264</v>
      </c>
      <c r="R91" s="396">
        <f t="shared" si="9"/>
        <v>5001</v>
      </c>
      <c r="S91" s="353">
        <v>3468</v>
      </c>
      <c r="T91" s="435">
        <v>5361</v>
      </c>
      <c r="U91" s="337">
        <f t="shared" si="6"/>
        <v>14094</v>
      </c>
      <c r="V91" s="349">
        <f t="shared" si="10"/>
        <v>0.92419672131147546</v>
      </c>
      <c r="W91" s="341">
        <v>45660</v>
      </c>
      <c r="X91" s="341">
        <v>46022</v>
      </c>
      <c r="Y91" s="342">
        <f t="shared" si="7"/>
        <v>362</v>
      </c>
      <c r="Z91" s="29">
        <v>15250</v>
      </c>
      <c r="AA91" s="339" t="s">
        <v>352</v>
      </c>
      <c r="AB91" s="206" t="s">
        <v>360</v>
      </c>
      <c r="AC91" s="29" t="s">
        <v>450</v>
      </c>
      <c r="AD91" s="29" t="s">
        <v>451</v>
      </c>
      <c r="AE91" s="343" t="s">
        <v>351</v>
      </c>
      <c r="AF91" s="380" t="s">
        <v>593</v>
      </c>
      <c r="AG91" s="368">
        <v>170000000</v>
      </c>
      <c r="AH91" s="206" t="s">
        <v>55</v>
      </c>
      <c r="AI91" s="206" t="s">
        <v>49</v>
      </c>
      <c r="AJ91" s="206"/>
      <c r="AK91" s="206"/>
      <c r="AL91" s="345" t="s">
        <v>869</v>
      </c>
      <c r="AM91" s="596"/>
      <c r="AN91" s="596"/>
      <c r="AO91" s="596"/>
      <c r="AP91" s="596"/>
      <c r="AQ91" s="433">
        <v>16571000</v>
      </c>
      <c r="AR91" s="470" t="s">
        <v>1062</v>
      </c>
      <c r="AS91" s="339" t="s">
        <v>265</v>
      </c>
      <c r="AT91" s="616"/>
      <c r="AU91" s="616"/>
      <c r="AV91" s="616"/>
      <c r="AW91" s="616"/>
      <c r="AX91" s="616"/>
      <c r="AY91" s="593"/>
      <c r="AZ91" s="619"/>
      <c r="BA91" s="593"/>
      <c r="BB91" s="605"/>
      <c r="BC91" s="611"/>
      <c r="BD91" s="605"/>
      <c r="BE91" s="611"/>
      <c r="BF91" s="433">
        <v>28441651</v>
      </c>
      <c r="BG91" s="339"/>
      <c r="BH91" s="433">
        <v>28441651</v>
      </c>
      <c r="BI91" s="339"/>
      <c r="BJ91" s="29" t="s">
        <v>923</v>
      </c>
      <c r="BK91" s="678"/>
    </row>
    <row r="92" spans="1:63" ht="25.8" customHeight="1">
      <c r="A92" s="29" t="s">
        <v>257</v>
      </c>
      <c r="B92" s="29" t="s">
        <v>200</v>
      </c>
      <c r="C92" s="334" t="s">
        <v>362</v>
      </c>
      <c r="D92" s="29" t="s">
        <v>218</v>
      </c>
      <c r="E92" s="29" t="s">
        <v>265</v>
      </c>
      <c r="F92" s="335">
        <v>2024130010135</v>
      </c>
      <c r="G92" s="29" t="s">
        <v>273</v>
      </c>
      <c r="H92" s="29" t="s">
        <v>286</v>
      </c>
      <c r="I92" s="29" t="s">
        <v>416</v>
      </c>
      <c r="J92" s="353">
        <v>5261</v>
      </c>
      <c r="K92" s="379">
        <v>1</v>
      </c>
      <c r="L92" s="339" t="s">
        <v>302</v>
      </c>
      <c r="M92" s="206"/>
      <c r="N92" s="339" t="s">
        <v>805</v>
      </c>
      <c r="O92" s="339">
        <v>15578</v>
      </c>
      <c r="P92" s="340">
        <v>15250</v>
      </c>
      <c r="Q92" s="455">
        <f t="shared" si="8"/>
        <v>264</v>
      </c>
      <c r="R92" s="396">
        <f t="shared" si="9"/>
        <v>5001</v>
      </c>
      <c r="S92" s="353">
        <v>3468</v>
      </c>
      <c r="T92" s="435">
        <v>5361</v>
      </c>
      <c r="U92" s="337">
        <f t="shared" si="6"/>
        <v>14094</v>
      </c>
      <c r="V92" s="349">
        <f t="shared" si="10"/>
        <v>0.92419672131147546</v>
      </c>
      <c r="W92" s="341">
        <v>45660</v>
      </c>
      <c r="X92" s="341">
        <v>46022</v>
      </c>
      <c r="Y92" s="342">
        <f t="shared" si="7"/>
        <v>362</v>
      </c>
      <c r="Z92" s="29">
        <v>15250</v>
      </c>
      <c r="AA92" s="339" t="s">
        <v>352</v>
      </c>
      <c r="AB92" s="206" t="s">
        <v>360</v>
      </c>
      <c r="AC92" s="29" t="s">
        <v>452</v>
      </c>
      <c r="AD92" s="29" t="s">
        <v>453</v>
      </c>
      <c r="AE92" s="343" t="s">
        <v>351</v>
      </c>
      <c r="AF92" s="380" t="s">
        <v>671</v>
      </c>
      <c r="AG92" s="368">
        <v>480000000</v>
      </c>
      <c r="AH92" s="339" t="s">
        <v>53</v>
      </c>
      <c r="AI92" s="206" t="s">
        <v>49</v>
      </c>
      <c r="AJ92" s="206"/>
      <c r="AK92" s="206"/>
      <c r="AL92" s="345"/>
      <c r="AM92" s="596"/>
      <c r="AN92" s="596"/>
      <c r="AO92" s="596"/>
      <c r="AP92" s="596"/>
      <c r="AQ92" s="433">
        <v>906248687</v>
      </c>
      <c r="AR92" s="470" t="s">
        <v>1059</v>
      </c>
      <c r="AS92" s="339" t="s">
        <v>265</v>
      </c>
      <c r="AT92" s="616"/>
      <c r="AU92" s="616"/>
      <c r="AV92" s="616"/>
      <c r="AW92" s="616"/>
      <c r="AX92" s="616"/>
      <c r="AY92" s="593"/>
      <c r="AZ92" s="619"/>
      <c r="BA92" s="593"/>
      <c r="BB92" s="605"/>
      <c r="BC92" s="611"/>
      <c r="BD92" s="605"/>
      <c r="BE92" s="611"/>
      <c r="BF92" s="433">
        <v>1675753992</v>
      </c>
      <c r="BG92" s="339"/>
      <c r="BH92" s="433">
        <v>1675753992</v>
      </c>
      <c r="BI92" s="339"/>
      <c r="BJ92" s="29" t="s">
        <v>923</v>
      </c>
      <c r="BK92" s="678"/>
    </row>
    <row r="93" spans="1:63" ht="25.8" customHeight="1">
      <c r="A93" s="29" t="s">
        <v>257</v>
      </c>
      <c r="B93" s="29" t="s">
        <v>200</v>
      </c>
      <c r="C93" s="334" t="s">
        <v>362</v>
      </c>
      <c r="D93" s="29" t="s">
        <v>218</v>
      </c>
      <c r="E93" s="29" t="s">
        <v>265</v>
      </c>
      <c r="F93" s="335">
        <v>2024130010135</v>
      </c>
      <c r="G93" s="29" t="s">
        <v>273</v>
      </c>
      <c r="H93" s="29" t="s">
        <v>286</v>
      </c>
      <c r="I93" s="29" t="s">
        <v>416</v>
      </c>
      <c r="J93" s="353">
        <v>5261</v>
      </c>
      <c r="K93" s="379">
        <v>1</v>
      </c>
      <c r="L93" s="339" t="s">
        <v>303</v>
      </c>
      <c r="M93" s="206"/>
      <c r="N93" s="339" t="s">
        <v>805</v>
      </c>
      <c r="O93" s="339">
        <v>15578</v>
      </c>
      <c r="P93" s="340">
        <v>15250</v>
      </c>
      <c r="Q93" s="455">
        <f t="shared" si="8"/>
        <v>264</v>
      </c>
      <c r="R93" s="396">
        <f t="shared" si="9"/>
        <v>5001</v>
      </c>
      <c r="S93" s="353">
        <v>3468</v>
      </c>
      <c r="T93" s="435">
        <v>5361</v>
      </c>
      <c r="U93" s="337">
        <f t="shared" si="6"/>
        <v>14094</v>
      </c>
      <c r="V93" s="349">
        <f t="shared" si="10"/>
        <v>0.92419672131147546</v>
      </c>
      <c r="W93" s="341">
        <v>45660</v>
      </c>
      <c r="X93" s="341">
        <v>46022</v>
      </c>
      <c r="Y93" s="342">
        <f t="shared" si="7"/>
        <v>362</v>
      </c>
      <c r="Z93" s="29">
        <v>15250</v>
      </c>
      <c r="AA93" s="339" t="s">
        <v>352</v>
      </c>
      <c r="AB93" s="206" t="s">
        <v>360</v>
      </c>
      <c r="AC93" s="29" t="s">
        <v>454</v>
      </c>
      <c r="AD93" s="29" t="s">
        <v>455</v>
      </c>
      <c r="AE93" s="343" t="s">
        <v>351</v>
      </c>
      <c r="AF93" s="380" t="s">
        <v>593</v>
      </c>
      <c r="AG93" s="368">
        <v>170000000</v>
      </c>
      <c r="AH93" s="206" t="s">
        <v>55</v>
      </c>
      <c r="AI93" s="206" t="s">
        <v>49</v>
      </c>
      <c r="AJ93" s="206"/>
      <c r="AK93" s="206"/>
      <c r="AL93" s="345" t="s">
        <v>870</v>
      </c>
      <c r="AM93" s="596"/>
      <c r="AN93" s="596"/>
      <c r="AO93" s="596"/>
      <c r="AP93" s="596"/>
      <c r="AQ93" s="433">
        <v>191751386</v>
      </c>
      <c r="AR93" s="470" t="s">
        <v>1060</v>
      </c>
      <c r="AS93" s="339" t="s">
        <v>265</v>
      </c>
      <c r="AT93" s="616"/>
      <c r="AU93" s="616"/>
      <c r="AV93" s="616"/>
      <c r="AW93" s="616"/>
      <c r="AX93" s="616"/>
      <c r="AY93" s="593"/>
      <c r="AZ93" s="619"/>
      <c r="BA93" s="593"/>
      <c r="BB93" s="605"/>
      <c r="BC93" s="611"/>
      <c r="BD93" s="605"/>
      <c r="BE93" s="611"/>
      <c r="BF93" s="433">
        <v>39129164</v>
      </c>
      <c r="BG93" s="339"/>
      <c r="BH93" s="433">
        <v>39129164</v>
      </c>
      <c r="BI93" s="339"/>
      <c r="BJ93" s="29" t="s">
        <v>923</v>
      </c>
      <c r="BK93" s="678"/>
    </row>
    <row r="94" spans="1:63" ht="25.8" customHeight="1">
      <c r="A94" s="29" t="s">
        <v>257</v>
      </c>
      <c r="B94" s="29" t="s">
        <v>200</v>
      </c>
      <c r="C94" s="334" t="s">
        <v>362</v>
      </c>
      <c r="D94" s="29" t="s">
        <v>218</v>
      </c>
      <c r="E94" s="29" t="s">
        <v>265</v>
      </c>
      <c r="F94" s="335">
        <v>2024130010135</v>
      </c>
      <c r="G94" s="29" t="s">
        <v>273</v>
      </c>
      <c r="H94" s="29" t="s">
        <v>327</v>
      </c>
      <c r="I94" s="29" t="s">
        <v>416</v>
      </c>
      <c r="J94" s="353">
        <v>5261</v>
      </c>
      <c r="K94" s="379">
        <v>1</v>
      </c>
      <c r="L94" s="339" t="s">
        <v>303</v>
      </c>
      <c r="M94" s="206"/>
      <c r="N94" s="339" t="s">
        <v>805</v>
      </c>
      <c r="O94" s="339">
        <v>15578</v>
      </c>
      <c r="P94" s="340">
        <v>15250</v>
      </c>
      <c r="Q94" s="455">
        <f t="shared" si="8"/>
        <v>264</v>
      </c>
      <c r="R94" s="396">
        <f t="shared" si="9"/>
        <v>5001</v>
      </c>
      <c r="S94" s="353">
        <v>3468</v>
      </c>
      <c r="T94" s="435">
        <v>5361</v>
      </c>
      <c r="U94" s="337">
        <f t="shared" si="6"/>
        <v>14094</v>
      </c>
      <c r="V94" s="349">
        <f t="shared" si="10"/>
        <v>0.92419672131147546</v>
      </c>
      <c r="W94" s="341">
        <v>45660</v>
      </c>
      <c r="X94" s="341">
        <v>46022</v>
      </c>
      <c r="Y94" s="342">
        <f t="shared" si="7"/>
        <v>362</v>
      </c>
      <c r="Z94" s="29">
        <v>15250</v>
      </c>
      <c r="AA94" s="339" t="s">
        <v>352</v>
      </c>
      <c r="AB94" s="206" t="s">
        <v>360</v>
      </c>
      <c r="AC94" s="29" t="s">
        <v>456</v>
      </c>
      <c r="AD94" s="29" t="s">
        <v>457</v>
      </c>
      <c r="AE94" s="343" t="s">
        <v>351</v>
      </c>
      <c r="AF94" s="380" t="s">
        <v>672</v>
      </c>
      <c r="AG94" s="368">
        <v>540000000</v>
      </c>
      <c r="AH94" s="339" t="s">
        <v>53</v>
      </c>
      <c r="AI94" s="206" t="s">
        <v>49</v>
      </c>
      <c r="AJ94" s="206"/>
      <c r="AK94" s="206"/>
      <c r="AL94" s="345"/>
      <c r="AM94" s="596"/>
      <c r="AN94" s="596"/>
      <c r="AO94" s="596"/>
      <c r="AP94" s="596"/>
      <c r="AQ94" s="433">
        <v>39129164.310000002</v>
      </c>
      <c r="AR94" s="470" t="s">
        <v>1061</v>
      </c>
      <c r="AS94" s="339" t="s">
        <v>265</v>
      </c>
      <c r="AT94" s="616"/>
      <c r="AU94" s="616"/>
      <c r="AV94" s="616"/>
      <c r="AW94" s="616"/>
      <c r="AX94" s="616"/>
      <c r="AY94" s="593"/>
      <c r="AZ94" s="619"/>
      <c r="BA94" s="593"/>
      <c r="BB94" s="605"/>
      <c r="BC94" s="611"/>
      <c r="BD94" s="605"/>
      <c r="BE94" s="611"/>
      <c r="BF94" s="433">
        <v>187139052.36000001</v>
      </c>
      <c r="BG94" s="339"/>
      <c r="BH94" s="433">
        <v>187139052.36000001</v>
      </c>
      <c r="BI94" s="339"/>
      <c r="BJ94" s="29" t="s">
        <v>923</v>
      </c>
      <c r="BK94" s="678"/>
    </row>
    <row r="95" spans="1:63" ht="25.8" customHeight="1">
      <c r="A95" s="29" t="s">
        <v>257</v>
      </c>
      <c r="B95" s="29" t="s">
        <v>200</v>
      </c>
      <c r="C95" s="334" t="s">
        <v>362</v>
      </c>
      <c r="D95" s="29" t="s">
        <v>218</v>
      </c>
      <c r="E95" s="29" t="s">
        <v>265</v>
      </c>
      <c r="F95" s="335">
        <v>2024130010135</v>
      </c>
      <c r="G95" s="29" t="s">
        <v>273</v>
      </c>
      <c r="H95" s="29" t="s">
        <v>327</v>
      </c>
      <c r="I95" s="29" t="s">
        <v>416</v>
      </c>
      <c r="J95" s="353">
        <v>5261</v>
      </c>
      <c r="K95" s="379">
        <v>1</v>
      </c>
      <c r="L95" s="339" t="s">
        <v>301</v>
      </c>
      <c r="M95" s="206"/>
      <c r="N95" s="339" t="s">
        <v>805</v>
      </c>
      <c r="O95" s="339">
        <v>15578</v>
      </c>
      <c r="P95" s="340">
        <v>15250</v>
      </c>
      <c r="Q95" s="455">
        <f t="shared" si="8"/>
        <v>264</v>
      </c>
      <c r="R95" s="396">
        <f t="shared" si="9"/>
        <v>5001</v>
      </c>
      <c r="S95" s="353">
        <v>3468</v>
      </c>
      <c r="T95" s="435">
        <v>5361</v>
      </c>
      <c r="U95" s="337">
        <f t="shared" si="6"/>
        <v>14094</v>
      </c>
      <c r="V95" s="349">
        <f t="shared" si="10"/>
        <v>0.92419672131147546</v>
      </c>
      <c r="W95" s="341">
        <v>45660</v>
      </c>
      <c r="X95" s="341">
        <v>46022</v>
      </c>
      <c r="Y95" s="342">
        <f t="shared" si="7"/>
        <v>362</v>
      </c>
      <c r="Z95" s="29">
        <v>15250</v>
      </c>
      <c r="AA95" s="339" t="s">
        <v>352</v>
      </c>
      <c r="AB95" s="206" t="s">
        <v>360</v>
      </c>
      <c r="AC95" s="29" t="s">
        <v>425</v>
      </c>
      <c r="AD95" s="29" t="s">
        <v>426</v>
      </c>
      <c r="AE95" s="343" t="s">
        <v>351</v>
      </c>
      <c r="AF95" s="380" t="s">
        <v>593</v>
      </c>
      <c r="AG95" s="368">
        <v>180000000</v>
      </c>
      <c r="AH95" s="206" t="s">
        <v>55</v>
      </c>
      <c r="AI95" s="206" t="s">
        <v>49</v>
      </c>
      <c r="AJ95" s="206"/>
      <c r="AK95" s="206"/>
      <c r="AL95" s="345" t="s">
        <v>844</v>
      </c>
      <c r="AM95" s="596"/>
      <c r="AN95" s="596"/>
      <c r="AO95" s="596"/>
      <c r="AP95" s="596"/>
      <c r="AQ95" s="347"/>
      <c r="AR95" s="429"/>
      <c r="AS95" s="339" t="s">
        <v>265</v>
      </c>
      <c r="AT95" s="616"/>
      <c r="AU95" s="616"/>
      <c r="AV95" s="616"/>
      <c r="AW95" s="616"/>
      <c r="AX95" s="616"/>
      <c r="AY95" s="593"/>
      <c r="AZ95" s="619"/>
      <c r="BA95" s="593"/>
      <c r="BB95" s="605"/>
      <c r="BC95" s="611"/>
      <c r="BD95" s="605"/>
      <c r="BE95" s="611"/>
      <c r="BF95" s="339"/>
      <c r="BG95" s="339"/>
      <c r="BH95" s="339"/>
      <c r="BI95" s="339"/>
      <c r="BJ95" s="29" t="s">
        <v>923</v>
      </c>
      <c r="BK95" s="678"/>
    </row>
    <row r="96" spans="1:63" ht="25.8" customHeight="1">
      <c r="A96" s="29" t="s">
        <v>257</v>
      </c>
      <c r="B96" s="29" t="s">
        <v>200</v>
      </c>
      <c r="C96" s="334" t="s">
        <v>362</v>
      </c>
      <c r="D96" s="29" t="s">
        <v>218</v>
      </c>
      <c r="E96" s="29" t="s">
        <v>265</v>
      </c>
      <c r="F96" s="335">
        <v>2024130010135</v>
      </c>
      <c r="G96" s="29" t="s">
        <v>273</v>
      </c>
      <c r="H96" s="29" t="s">
        <v>327</v>
      </c>
      <c r="I96" s="29" t="s">
        <v>416</v>
      </c>
      <c r="J96" s="353">
        <v>5261</v>
      </c>
      <c r="K96" s="379">
        <v>1</v>
      </c>
      <c r="L96" s="339" t="s">
        <v>301</v>
      </c>
      <c r="M96" s="206"/>
      <c r="N96" s="339" t="s">
        <v>805</v>
      </c>
      <c r="O96" s="339">
        <v>15578</v>
      </c>
      <c r="P96" s="340">
        <v>15250</v>
      </c>
      <c r="Q96" s="455">
        <f t="shared" si="8"/>
        <v>264</v>
      </c>
      <c r="R96" s="396">
        <f t="shared" si="9"/>
        <v>5001</v>
      </c>
      <c r="S96" s="353">
        <v>3468</v>
      </c>
      <c r="T96" s="435">
        <v>5361</v>
      </c>
      <c r="U96" s="337">
        <f t="shared" si="6"/>
        <v>14094</v>
      </c>
      <c r="V96" s="349">
        <f t="shared" si="10"/>
        <v>0.92419672131147546</v>
      </c>
      <c r="W96" s="341">
        <v>45660</v>
      </c>
      <c r="X96" s="341">
        <v>46022</v>
      </c>
      <c r="Y96" s="342">
        <f t="shared" si="7"/>
        <v>362</v>
      </c>
      <c r="Z96" s="29">
        <v>15250</v>
      </c>
      <c r="AA96" s="339" t="s">
        <v>352</v>
      </c>
      <c r="AB96" s="206" t="s">
        <v>360</v>
      </c>
      <c r="AC96" s="29" t="s">
        <v>425</v>
      </c>
      <c r="AD96" s="29" t="s">
        <v>426</v>
      </c>
      <c r="AE96" s="343" t="s">
        <v>351</v>
      </c>
      <c r="AF96" s="380" t="s">
        <v>673</v>
      </c>
      <c r="AG96" s="368">
        <v>1400000000</v>
      </c>
      <c r="AH96" s="339" t="s">
        <v>53</v>
      </c>
      <c r="AI96" s="206" t="s">
        <v>49</v>
      </c>
      <c r="AJ96" s="206"/>
      <c r="AK96" s="206"/>
      <c r="AL96" s="345"/>
      <c r="AM96" s="596"/>
      <c r="AN96" s="596"/>
      <c r="AO96" s="596"/>
      <c r="AP96" s="596"/>
      <c r="AQ96" s="347"/>
      <c r="AR96" s="429"/>
      <c r="AS96" s="339" t="s">
        <v>265</v>
      </c>
      <c r="AT96" s="616"/>
      <c r="AU96" s="616"/>
      <c r="AV96" s="616"/>
      <c r="AW96" s="616"/>
      <c r="AX96" s="616"/>
      <c r="AY96" s="593"/>
      <c r="AZ96" s="619"/>
      <c r="BA96" s="593"/>
      <c r="BB96" s="605"/>
      <c r="BC96" s="611"/>
      <c r="BD96" s="605"/>
      <c r="BE96" s="611"/>
      <c r="BF96" s="339"/>
      <c r="BG96" s="339"/>
      <c r="BH96" s="339"/>
      <c r="BI96" s="339"/>
      <c r="BJ96" s="29" t="s">
        <v>923</v>
      </c>
      <c r="BK96" s="678"/>
    </row>
    <row r="97" spans="1:63" ht="25.8" customHeight="1">
      <c r="A97" s="29" t="s">
        <v>257</v>
      </c>
      <c r="B97" s="29" t="s">
        <v>200</v>
      </c>
      <c r="C97" s="334" t="s">
        <v>362</v>
      </c>
      <c r="D97" s="29" t="s">
        <v>218</v>
      </c>
      <c r="E97" s="29" t="s">
        <v>265</v>
      </c>
      <c r="F97" s="335">
        <v>2024130010135</v>
      </c>
      <c r="G97" s="29" t="s">
        <v>273</v>
      </c>
      <c r="H97" s="29" t="s">
        <v>327</v>
      </c>
      <c r="I97" s="29" t="s">
        <v>416</v>
      </c>
      <c r="J97" s="353">
        <v>5261</v>
      </c>
      <c r="K97" s="379">
        <v>1</v>
      </c>
      <c r="L97" s="339" t="s">
        <v>328</v>
      </c>
      <c r="M97" s="206"/>
      <c r="N97" s="339" t="s">
        <v>806</v>
      </c>
      <c r="O97" s="339">
        <v>15578</v>
      </c>
      <c r="P97" s="340">
        <v>15250</v>
      </c>
      <c r="Q97" s="455">
        <f t="shared" si="8"/>
        <v>264</v>
      </c>
      <c r="R97" s="396">
        <f t="shared" si="9"/>
        <v>5001</v>
      </c>
      <c r="S97" s="353">
        <v>3468</v>
      </c>
      <c r="T97" s="435">
        <v>5361</v>
      </c>
      <c r="U97" s="337">
        <f t="shared" si="6"/>
        <v>14094</v>
      </c>
      <c r="V97" s="349">
        <f t="shared" si="10"/>
        <v>0.92419672131147546</v>
      </c>
      <c r="W97" s="341">
        <v>45660</v>
      </c>
      <c r="X97" s="341">
        <v>46022</v>
      </c>
      <c r="Y97" s="342">
        <f t="shared" si="7"/>
        <v>362</v>
      </c>
      <c r="Z97" s="29">
        <v>15250</v>
      </c>
      <c r="AA97" s="339" t="s">
        <v>352</v>
      </c>
      <c r="AB97" s="206" t="s">
        <v>360</v>
      </c>
      <c r="AC97" s="29" t="s">
        <v>425</v>
      </c>
      <c r="AD97" s="29" t="s">
        <v>426</v>
      </c>
      <c r="AE97" s="343" t="s">
        <v>351</v>
      </c>
      <c r="AF97" s="380" t="s">
        <v>593</v>
      </c>
      <c r="AG97" s="368">
        <v>17092532</v>
      </c>
      <c r="AH97" s="206" t="s">
        <v>55</v>
      </c>
      <c r="AI97" s="206" t="s">
        <v>49</v>
      </c>
      <c r="AJ97" s="206"/>
      <c r="AK97" s="206"/>
      <c r="AL97" s="345" t="s">
        <v>855</v>
      </c>
      <c r="AM97" s="596"/>
      <c r="AN97" s="596"/>
      <c r="AO97" s="596"/>
      <c r="AP97" s="596"/>
      <c r="AQ97" s="347"/>
      <c r="AR97" s="429"/>
      <c r="AS97" s="339" t="s">
        <v>265</v>
      </c>
      <c r="AT97" s="616"/>
      <c r="AU97" s="616"/>
      <c r="AV97" s="616"/>
      <c r="AW97" s="616"/>
      <c r="AX97" s="616"/>
      <c r="AY97" s="593"/>
      <c r="AZ97" s="619"/>
      <c r="BA97" s="593"/>
      <c r="BB97" s="605"/>
      <c r="BC97" s="611"/>
      <c r="BD97" s="605"/>
      <c r="BE97" s="611"/>
      <c r="BF97" s="339"/>
      <c r="BG97" s="339"/>
      <c r="BH97" s="339"/>
      <c r="BI97" s="339"/>
      <c r="BJ97" s="29" t="s">
        <v>923</v>
      </c>
      <c r="BK97" s="678"/>
    </row>
    <row r="98" spans="1:63" ht="25.8" customHeight="1">
      <c r="A98" s="29" t="s">
        <v>257</v>
      </c>
      <c r="B98" s="29" t="s">
        <v>200</v>
      </c>
      <c r="C98" s="334" t="s">
        <v>362</v>
      </c>
      <c r="D98" s="29" t="s">
        <v>218</v>
      </c>
      <c r="E98" s="29" t="s">
        <v>265</v>
      </c>
      <c r="F98" s="335">
        <v>2024130010135</v>
      </c>
      <c r="G98" s="29" t="s">
        <v>273</v>
      </c>
      <c r="H98" s="29" t="s">
        <v>327</v>
      </c>
      <c r="I98" s="29" t="s">
        <v>416</v>
      </c>
      <c r="J98" s="353">
        <v>5261</v>
      </c>
      <c r="K98" s="379">
        <v>1</v>
      </c>
      <c r="L98" s="339" t="s">
        <v>328</v>
      </c>
      <c r="M98" s="206"/>
      <c r="N98" s="339" t="s">
        <v>806</v>
      </c>
      <c r="O98" s="339">
        <v>15578</v>
      </c>
      <c r="P98" s="340">
        <v>15250</v>
      </c>
      <c r="Q98" s="455">
        <f t="shared" si="8"/>
        <v>264</v>
      </c>
      <c r="R98" s="396">
        <f t="shared" si="9"/>
        <v>5001</v>
      </c>
      <c r="S98" s="353">
        <v>3468</v>
      </c>
      <c r="T98" s="435">
        <v>5361</v>
      </c>
      <c r="U98" s="337">
        <f t="shared" si="6"/>
        <v>14094</v>
      </c>
      <c r="V98" s="349">
        <f t="shared" si="10"/>
        <v>0.92419672131147546</v>
      </c>
      <c r="W98" s="341">
        <v>45660</v>
      </c>
      <c r="X98" s="341">
        <v>46022</v>
      </c>
      <c r="Y98" s="342">
        <f t="shared" si="7"/>
        <v>362</v>
      </c>
      <c r="Z98" s="29">
        <v>15250</v>
      </c>
      <c r="AA98" s="339" t="s">
        <v>352</v>
      </c>
      <c r="AB98" s="206" t="s">
        <v>360</v>
      </c>
      <c r="AC98" s="29" t="s">
        <v>425</v>
      </c>
      <c r="AD98" s="29" t="s">
        <v>426</v>
      </c>
      <c r="AE98" s="343" t="s">
        <v>351</v>
      </c>
      <c r="AF98" s="380" t="s">
        <v>667</v>
      </c>
      <c r="AG98" s="368">
        <v>400000000</v>
      </c>
      <c r="AH98" s="339" t="s">
        <v>53</v>
      </c>
      <c r="AI98" s="206" t="s">
        <v>49</v>
      </c>
      <c r="AJ98" s="206"/>
      <c r="AK98" s="206"/>
      <c r="AL98" s="345" t="s">
        <v>871</v>
      </c>
      <c r="AM98" s="596"/>
      <c r="AN98" s="596"/>
      <c r="AO98" s="596"/>
      <c r="AP98" s="596"/>
      <c r="AQ98" s="347"/>
      <c r="AR98" s="429"/>
      <c r="AS98" s="339" t="s">
        <v>265</v>
      </c>
      <c r="AT98" s="616"/>
      <c r="AU98" s="616"/>
      <c r="AV98" s="616"/>
      <c r="AW98" s="616"/>
      <c r="AX98" s="616"/>
      <c r="AY98" s="593"/>
      <c r="AZ98" s="619"/>
      <c r="BA98" s="593"/>
      <c r="BB98" s="605"/>
      <c r="BC98" s="611"/>
      <c r="BD98" s="605"/>
      <c r="BE98" s="611"/>
      <c r="BF98" s="339"/>
      <c r="BG98" s="339"/>
      <c r="BH98" s="339"/>
      <c r="BI98" s="339"/>
      <c r="BJ98" s="29" t="s">
        <v>923</v>
      </c>
      <c r="BK98" s="678"/>
    </row>
    <row r="99" spans="1:63" ht="25.8" customHeight="1">
      <c r="A99" s="29" t="s">
        <v>257</v>
      </c>
      <c r="B99" s="29" t="s">
        <v>200</v>
      </c>
      <c r="C99" s="334" t="s">
        <v>362</v>
      </c>
      <c r="D99" s="29" t="s">
        <v>218</v>
      </c>
      <c r="E99" s="29" t="s">
        <v>265</v>
      </c>
      <c r="F99" s="335">
        <v>2024130010135</v>
      </c>
      <c r="G99" s="29" t="s">
        <v>273</v>
      </c>
      <c r="H99" s="29" t="s">
        <v>327</v>
      </c>
      <c r="I99" s="29" t="s">
        <v>416</v>
      </c>
      <c r="J99" s="353">
        <v>5261</v>
      </c>
      <c r="K99" s="379">
        <v>1</v>
      </c>
      <c r="L99" s="339" t="s">
        <v>296</v>
      </c>
      <c r="M99" s="206"/>
      <c r="N99" s="339" t="s">
        <v>663</v>
      </c>
      <c r="O99" s="339">
        <v>42</v>
      </c>
      <c r="P99" s="340">
        <v>50</v>
      </c>
      <c r="Q99" s="428">
        <v>0</v>
      </c>
      <c r="R99" s="428">
        <v>25</v>
      </c>
      <c r="S99" s="353">
        <v>0</v>
      </c>
      <c r="T99" s="435">
        <v>7</v>
      </c>
      <c r="U99" s="337">
        <f t="shared" si="6"/>
        <v>32</v>
      </c>
      <c r="V99" s="349">
        <f>+U99/P99</f>
        <v>0.64</v>
      </c>
      <c r="W99" s="341">
        <v>45660</v>
      </c>
      <c r="X99" s="341">
        <v>46022</v>
      </c>
      <c r="Y99" s="342">
        <f t="shared" si="7"/>
        <v>362</v>
      </c>
      <c r="Z99" s="29">
        <v>15250</v>
      </c>
      <c r="AA99" s="339" t="s">
        <v>352</v>
      </c>
      <c r="AB99" s="206" t="s">
        <v>360</v>
      </c>
      <c r="AC99" s="29" t="s">
        <v>425</v>
      </c>
      <c r="AD99" s="29" t="s">
        <v>426</v>
      </c>
      <c r="AE99" s="343" t="s">
        <v>351</v>
      </c>
      <c r="AF99" s="380" t="s">
        <v>666</v>
      </c>
      <c r="AG99" s="368">
        <v>100000000</v>
      </c>
      <c r="AH99" s="339" t="s">
        <v>52</v>
      </c>
      <c r="AI99" s="206" t="s">
        <v>49</v>
      </c>
      <c r="AJ99" s="206"/>
      <c r="AK99" s="206"/>
      <c r="AL99" s="206"/>
      <c r="AM99" s="597"/>
      <c r="AN99" s="597"/>
      <c r="AO99" s="597"/>
      <c r="AP99" s="597"/>
      <c r="AQ99" s="356"/>
      <c r="AR99" s="430"/>
      <c r="AS99" s="339" t="s">
        <v>265</v>
      </c>
      <c r="AT99" s="617"/>
      <c r="AU99" s="617"/>
      <c r="AV99" s="617"/>
      <c r="AW99" s="617"/>
      <c r="AX99" s="617"/>
      <c r="AY99" s="594"/>
      <c r="AZ99" s="620"/>
      <c r="BA99" s="594"/>
      <c r="BB99" s="606"/>
      <c r="BC99" s="612"/>
      <c r="BD99" s="606"/>
      <c r="BE99" s="612"/>
      <c r="BF99" s="339"/>
      <c r="BG99" s="339"/>
      <c r="BH99" s="339"/>
      <c r="BI99" s="339"/>
      <c r="BJ99" s="29" t="s">
        <v>923</v>
      </c>
      <c r="BK99" s="679"/>
    </row>
    <row r="100" spans="1:63" ht="25.8" customHeight="1">
      <c r="A100" s="29"/>
      <c r="B100" s="29"/>
      <c r="C100" s="334"/>
      <c r="D100" s="29"/>
      <c r="E100" s="663" t="s">
        <v>772</v>
      </c>
      <c r="F100" s="664"/>
      <c r="G100" s="664"/>
      <c r="H100" s="664"/>
      <c r="I100" s="664"/>
      <c r="J100" s="664"/>
      <c r="K100" s="664"/>
      <c r="L100" s="664"/>
      <c r="M100" s="664"/>
      <c r="N100" s="664"/>
      <c r="O100" s="664"/>
      <c r="P100" s="664"/>
      <c r="Q100" s="664"/>
      <c r="R100" s="665"/>
      <c r="S100" s="357"/>
      <c r="T100" s="357"/>
      <c r="U100" s="357"/>
      <c r="V100" s="289">
        <f>AVERAGE(V88:V99)</f>
        <v>0.89927146130794988</v>
      </c>
      <c r="W100" s="341"/>
      <c r="X100" s="341"/>
      <c r="Y100" s="342"/>
      <c r="Z100" s="29"/>
      <c r="AA100" s="339"/>
      <c r="AB100" s="206"/>
      <c r="AC100" s="29"/>
      <c r="AD100" s="29"/>
      <c r="AE100" s="343"/>
      <c r="AF100" s="380"/>
      <c r="AG100" s="368"/>
      <c r="AH100" s="339"/>
      <c r="AI100" s="206"/>
      <c r="AJ100" s="206"/>
      <c r="AK100" s="206"/>
      <c r="AL100" s="206"/>
      <c r="AM100" s="359">
        <f>SUM(AM88)</f>
        <v>4017092532</v>
      </c>
      <c r="AN100" s="359">
        <f>SUM(AN88)</f>
        <v>4193305880.3099999</v>
      </c>
      <c r="AO100" s="359">
        <f>SUM(AO88)</f>
        <v>4193305880.3099999</v>
      </c>
      <c r="AP100" s="359">
        <f>SUM(AP88)</f>
        <v>4193305880.3099999</v>
      </c>
      <c r="AQ100" s="471">
        <f>SUM(AQ88:AQ99)</f>
        <v>6187305880.3100004</v>
      </c>
      <c r="AR100" s="348"/>
      <c r="AS100" s="339"/>
      <c r="AT100" s="339">
        <f>SUM(AT88)</f>
        <v>0</v>
      </c>
      <c r="AU100" s="377">
        <f>+AU88</f>
        <v>0</v>
      </c>
      <c r="AV100" s="339">
        <f>SUM(AV88)</f>
        <v>0</v>
      </c>
      <c r="AW100" s="377">
        <f>+AW88</f>
        <v>0</v>
      </c>
      <c r="AX100" s="373">
        <f>SUM(AX88)</f>
        <v>2913327064.8299999</v>
      </c>
      <c r="AY100" s="369">
        <f>+AY88</f>
        <v>0.69475663068362314</v>
      </c>
      <c r="AZ100" s="373">
        <f>SUM(AZ88)</f>
        <v>2314975159.8299999</v>
      </c>
      <c r="BA100" s="369">
        <f>+BA88</f>
        <v>0.5520644631960071</v>
      </c>
      <c r="BB100" s="373">
        <f>SUM(BB88)</f>
        <v>3313127064.8299999</v>
      </c>
      <c r="BC100" s="369">
        <f>+BC88</f>
        <v>0.79009906727459367</v>
      </c>
      <c r="BD100" s="373">
        <f>SUM(BD88)</f>
        <v>3313127064.8299999</v>
      </c>
      <c r="BE100" s="369">
        <f>+BE88</f>
        <v>0.79009906727459367</v>
      </c>
      <c r="BF100" s="472">
        <f>SUM(BF88:BF99)</f>
        <v>6115455753.3599997</v>
      </c>
      <c r="BG100" s="434">
        <f>+BF100/AQ100</f>
        <v>0.98838749395295766</v>
      </c>
      <c r="BH100" s="472">
        <f>SUM(BH88:BH99)</f>
        <v>6115455753.3599997</v>
      </c>
      <c r="BI100" s="434">
        <f>+BH100/AQ100</f>
        <v>0.98838749395295766</v>
      </c>
      <c r="BJ100" s="367"/>
    </row>
    <row r="101" spans="1:63" ht="25.8" customHeight="1">
      <c r="A101" s="29" t="s">
        <v>259</v>
      </c>
      <c r="B101" s="29" t="s">
        <v>201</v>
      </c>
      <c r="C101" s="334" t="s">
        <v>363</v>
      </c>
      <c r="D101" s="29" t="s">
        <v>219</v>
      </c>
      <c r="E101" s="368" t="s">
        <v>266</v>
      </c>
      <c r="F101" s="335">
        <v>2024130010129</v>
      </c>
      <c r="G101" s="29" t="s">
        <v>274</v>
      </c>
      <c r="H101" s="29" t="s">
        <v>305</v>
      </c>
      <c r="I101" s="29" t="s">
        <v>417</v>
      </c>
      <c r="J101" s="353">
        <v>34493</v>
      </c>
      <c r="K101" s="379">
        <v>0.55000000000000004</v>
      </c>
      <c r="L101" s="339" t="s">
        <v>306</v>
      </c>
      <c r="M101" s="339"/>
      <c r="N101" s="339" t="s">
        <v>807</v>
      </c>
      <c r="O101" s="339">
        <v>57272</v>
      </c>
      <c r="P101" s="340">
        <v>47300</v>
      </c>
      <c r="Q101" s="457">
        <v>4292</v>
      </c>
      <c r="R101" s="458">
        <f>(34493-Q101)</f>
        <v>30201</v>
      </c>
      <c r="S101" s="396">
        <v>11688</v>
      </c>
      <c r="T101" s="435">
        <v>13464</v>
      </c>
      <c r="U101" s="337">
        <f t="shared" si="6"/>
        <v>59645</v>
      </c>
      <c r="V101" s="349">
        <v>1</v>
      </c>
      <c r="W101" s="341">
        <v>45660</v>
      </c>
      <c r="X101" s="341">
        <v>46022</v>
      </c>
      <c r="Y101" s="342">
        <f t="shared" si="7"/>
        <v>362</v>
      </c>
      <c r="Z101" s="353">
        <v>47300</v>
      </c>
      <c r="AA101" s="339" t="s">
        <v>352</v>
      </c>
      <c r="AB101" s="206" t="s">
        <v>368</v>
      </c>
      <c r="AC101" s="29" t="s">
        <v>427</v>
      </c>
      <c r="AD101" s="29" t="s">
        <v>428</v>
      </c>
      <c r="AE101" s="343" t="s">
        <v>351</v>
      </c>
      <c r="AF101" s="380" t="s">
        <v>596</v>
      </c>
      <c r="AG101" s="368">
        <v>49140000</v>
      </c>
      <c r="AH101" s="206" t="s">
        <v>55</v>
      </c>
      <c r="AI101" s="206" t="s">
        <v>49</v>
      </c>
      <c r="AJ101" s="206"/>
      <c r="AK101" s="206"/>
      <c r="AL101" s="345" t="s">
        <v>872</v>
      </c>
      <c r="AM101" s="613">
        <v>2103471540</v>
      </c>
      <c r="AN101" s="613">
        <v>2572740622.8499999</v>
      </c>
      <c r="AO101" s="613">
        <v>2572740622.8499999</v>
      </c>
      <c r="AP101" s="613">
        <v>2572740622.8499999</v>
      </c>
      <c r="AQ101" s="433">
        <v>1487646181</v>
      </c>
      <c r="AR101" s="470" t="s">
        <v>1056</v>
      </c>
      <c r="AS101" s="339" t="s">
        <v>266</v>
      </c>
      <c r="AT101" s="615">
        <v>0</v>
      </c>
      <c r="AU101" s="615">
        <v>0</v>
      </c>
      <c r="AV101" s="615">
        <v>0</v>
      </c>
      <c r="AW101" s="615">
        <v>0</v>
      </c>
      <c r="AX101" s="621">
        <v>940599388</v>
      </c>
      <c r="AY101" s="592">
        <f>+AX101/AO101</f>
        <v>0.36560210525926784</v>
      </c>
      <c r="AZ101" s="621">
        <v>334751350</v>
      </c>
      <c r="BA101" s="592">
        <f>+AZ101/AO101</f>
        <v>0.13011469054706851</v>
      </c>
      <c r="BB101" s="613">
        <v>1590758314.1500001</v>
      </c>
      <c r="BC101" s="607">
        <f>+BB101/AP101</f>
        <v>0.61831274401373926</v>
      </c>
      <c r="BD101" s="613">
        <v>1590758314.1500001</v>
      </c>
      <c r="BE101" s="607">
        <f>+BD101/AP101</f>
        <v>0.61831274401373926</v>
      </c>
      <c r="BF101" s="433">
        <v>1331112963</v>
      </c>
      <c r="BG101" s="339"/>
      <c r="BH101" s="433">
        <v>1331112963</v>
      </c>
      <c r="BI101" s="339"/>
      <c r="BJ101" s="29" t="s">
        <v>922</v>
      </c>
      <c r="BK101" s="677" t="s">
        <v>1043</v>
      </c>
    </row>
    <row r="102" spans="1:63" ht="25.8" customHeight="1">
      <c r="A102" s="29" t="s">
        <v>259</v>
      </c>
      <c r="B102" s="29" t="s">
        <v>201</v>
      </c>
      <c r="C102" s="334" t="s">
        <v>363</v>
      </c>
      <c r="D102" s="29" t="s">
        <v>219</v>
      </c>
      <c r="E102" s="368" t="s">
        <v>266</v>
      </c>
      <c r="F102" s="335">
        <v>2024130010129</v>
      </c>
      <c r="G102" s="29" t="s">
        <v>274</v>
      </c>
      <c r="H102" s="29" t="s">
        <v>305</v>
      </c>
      <c r="I102" s="29" t="s">
        <v>417</v>
      </c>
      <c r="J102" s="353">
        <v>34493</v>
      </c>
      <c r="K102" s="379">
        <v>0.55000000000000004</v>
      </c>
      <c r="L102" s="339" t="s">
        <v>306</v>
      </c>
      <c r="M102" s="339"/>
      <c r="N102" s="339" t="s">
        <v>807</v>
      </c>
      <c r="O102" s="339">
        <v>57272</v>
      </c>
      <c r="P102" s="340">
        <v>47300</v>
      </c>
      <c r="Q102" s="457">
        <v>4292</v>
      </c>
      <c r="R102" s="428">
        <v>3</v>
      </c>
      <c r="S102" s="428">
        <v>0</v>
      </c>
      <c r="T102" s="435">
        <v>5</v>
      </c>
      <c r="U102" s="337">
        <f t="shared" si="6"/>
        <v>4300</v>
      </c>
      <c r="V102" s="349">
        <f t="shared" ref="V102:V131" si="11">+U102/P102</f>
        <v>9.0909090909090912E-2</v>
      </c>
      <c r="W102" s="341">
        <v>45660</v>
      </c>
      <c r="X102" s="341">
        <v>46022</v>
      </c>
      <c r="Y102" s="342">
        <f t="shared" si="7"/>
        <v>362</v>
      </c>
      <c r="Z102" s="353">
        <v>47300</v>
      </c>
      <c r="AA102" s="339" t="s">
        <v>352</v>
      </c>
      <c r="AB102" s="206" t="s">
        <v>368</v>
      </c>
      <c r="AC102" s="29" t="s">
        <v>429</v>
      </c>
      <c r="AD102" s="29" t="s">
        <v>430</v>
      </c>
      <c r="AE102" s="343" t="s">
        <v>351</v>
      </c>
      <c r="AF102" s="380" t="s">
        <v>697</v>
      </c>
      <c r="AG102" s="368">
        <v>33509575</v>
      </c>
      <c r="AH102" s="339" t="s">
        <v>56</v>
      </c>
      <c r="AI102" s="206" t="s">
        <v>49</v>
      </c>
      <c r="AJ102" s="206"/>
      <c r="AK102" s="206"/>
      <c r="AL102" s="345" t="s">
        <v>873</v>
      </c>
      <c r="AM102" s="596"/>
      <c r="AN102" s="596"/>
      <c r="AO102" s="596"/>
      <c r="AP102" s="596"/>
      <c r="AQ102" s="433">
        <v>1200000000</v>
      </c>
      <c r="AR102" s="470" t="s">
        <v>1058</v>
      </c>
      <c r="AS102" s="339" t="s">
        <v>266</v>
      </c>
      <c r="AT102" s="616"/>
      <c r="AU102" s="616"/>
      <c r="AV102" s="616"/>
      <c r="AW102" s="616"/>
      <c r="AX102" s="622"/>
      <c r="AY102" s="593"/>
      <c r="AZ102" s="622"/>
      <c r="BA102" s="593"/>
      <c r="BB102" s="596"/>
      <c r="BC102" s="608"/>
      <c r="BD102" s="596"/>
      <c r="BE102" s="608"/>
      <c r="BF102" s="433">
        <v>651835690.14999998</v>
      </c>
      <c r="BG102" s="339"/>
      <c r="BH102" s="433">
        <v>651835690.14999998</v>
      </c>
      <c r="BI102" s="339"/>
      <c r="BJ102" s="29" t="s">
        <v>922</v>
      </c>
      <c r="BK102" s="678"/>
    </row>
    <row r="103" spans="1:63" ht="25.8" customHeight="1">
      <c r="A103" s="29" t="s">
        <v>259</v>
      </c>
      <c r="B103" s="29" t="s">
        <v>201</v>
      </c>
      <c r="C103" s="334" t="s">
        <v>363</v>
      </c>
      <c r="D103" s="29" t="s">
        <v>219</v>
      </c>
      <c r="E103" s="368" t="s">
        <v>266</v>
      </c>
      <c r="F103" s="335">
        <v>2024130010129</v>
      </c>
      <c r="G103" s="29" t="s">
        <v>274</v>
      </c>
      <c r="H103" s="380" t="s">
        <v>305</v>
      </c>
      <c r="I103" s="29" t="s">
        <v>417</v>
      </c>
      <c r="J103" s="353">
        <v>34493</v>
      </c>
      <c r="K103" s="379">
        <v>0.55000000000000004</v>
      </c>
      <c r="L103" s="339" t="s">
        <v>307</v>
      </c>
      <c r="M103" s="339"/>
      <c r="N103" s="339" t="s">
        <v>663</v>
      </c>
      <c r="O103" s="339">
        <v>2</v>
      </c>
      <c r="P103" s="340">
        <v>10</v>
      </c>
      <c r="Q103" s="428">
        <v>2</v>
      </c>
      <c r="R103" s="428">
        <v>3</v>
      </c>
      <c r="S103" s="428">
        <v>0</v>
      </c>
      <c r="T103" s="435">
        <v>5</v>
      </c>
      <c r="U103" s="337">
        <f t="shared" si="6"/>
        <v>10</v>
      </c>
      <c r="V103" s="349">
        <f t="shared" si="11"/>
        <v>1</v>
      </c>
      <c r="W103" s="341">
        <v>45660</v>
      </c>
      <c r="X103" s="341">
        <v>46022</v>
      </c>
      <c r="Y103" s="342">
        <f t="shared" si="7"/>
        <v>362</v>
      </c>
      <c r="Z103" s="353">
        <v>47300</v>
      </c>
      <c r="AA103" s="339" t="s">
        <v>352</v>
      </c>
      <c r="AB103" s="206" t="s">
        <v>368</v>
      </c>
      <c r="AC103" s="29" t="s">
        <v>447</v>
      </c>
      <c r="AD103" s="29" t="s">
        <v>436</v>
      </c>
      <c r="AE103" s="343" t="s">
        <v>351</v>
      </c>
      <c r="AF103" s="380" t="s">
        <v>596</v>
      </c>
      <c r="AG103" s="368">
        <v>51912000</v>
      </c>
      <c r="AH103" s="206" t="s">
        <v>55</v>
      </c>
      <c r="AI103" s="206" t="s">
        <v>49</v>
      </c>
      <c r="AJ103" s="206"/>
      <c r="AK103" s="206"/>
      <c r="AL103" s="345" t="s">
        <v>874</v>
      </c>
      <c r="AM103" s="596"/>
      <c r="AN103" s="596"/>
      <c r="AO103" s="596"/>
      <c r="AP103" s="596"/>
      <c r="AQ103" s="433">
        <v>663825359</v>
      </c>
      <c r="AR103" s="470" t="s">
        <v>1059</v>
      </c>
      <c r="AS103" s="339" t="s">
        <v>266</v>
      </c>
      <c r="AT103" s="616"/>
      <c r="AU103" s="616"/>
      <c r="AV103" s="616"/>
      <c r="AW103" s="616"/>
      <c r="AX103" s="622"/>
      <c r="AY103" s="593"/>
      <c r="AZ103" s="622"/>
      <c r="BA103" s="593"/>
      <c r="BB103" s="596"/>
      <c r="BC103" s="608"/>
      <c r="BD103" s="596"/>
      <c r="BE103" s="608"/>
      <c r="BF103" s="433">
        <v>1163868424.54</v>
      </c>
      <c r="BG103" s="339"/>
      <c r="BH103" s="433">
        <v>1163868424.54</v>
      </c>
      <c r="BI103" s="339"/>
      <c r="BJ103" s="29" t="s">
        <v>922</v>
      </c>
      <c r="BK103" s="678"/>
    </row>
    <row r="104" spans="1:63" ht="25.8" customHeight="1">
      <c r="A104" s="29" t="s">
        <v>259</v>
      </c>
      <c r="B104" s="29" t="s">
        <v>201</v>
      </c>
      <c r="C104" s="334" t="s">
        <v>363</v>
      </c>
      <c r="D104" s="29" t="s">
        <v>219</v>
      </c>
      <c r="E104" s="368" t="s">
        <v>266</v>
      </c>
      <c r="F104" s="335">
        <v>2024130010129</v>
      </c>
      <c r="G104" s="29" t="s">
        <v>274</v>
      </c>
      <c r="H104" s="29" t="s">
        <v>305</v>
      </c>
      <c r="I104" s="29" t="s">
        <v>417</v>
      </c>
      <c r="J104" s="353">
        <v>34493</v>
      </c>
      <c r="K104" s="379">
        <v>0.55000000000000004</v>
      </c>
      <c r="L104" s="339" t="s">
        <v>307</v>
      </c>
      <c r="M104" s="339"/>
      <c r="N104" s="339" t="s">
        <v>663</v>
      </c>
      <c r="O104" s="339">
        <v>2</v>
      </c>
      <c r="P104" s="340">
        <v>10</v>
      </c>
      <c r="Q104" s="428">
        <v>2</v>
      </c>
      <c r="R104" s="458">
        <f t="shared" ref="R104:R116" si="12">(34493-Q104)</f>
        <v>34491</v>
      </c>
      <c r="S104" s="396">
        <v>11688</v>
      </c>
      <c r="T104" s="435">
        <v>13464</v>
      </c>
      <c r="U104" s="337">
        <f t="shared" si="6"/>
        <v>59645</v>
      </c>
      <c r="V104" s="349">
        <v>1</v>
      </c>
      <c r="W104" s="341">
        <v>45660</v>
      </c>
      <c r="X104" s="341">
        <v>46022</v>
      </c>
      <c r="Y104" s="342">
        <f t="shared" si="7"/>
        <v>362</v>
      </c>
      <c r="Z104" s="353">
        <v>47300</v>
      </c>
      <c r="AA104" s="339" t="s">
        <v>352</v>
      </c>
      <c r="AB104" s="206" t="s">
        <v>368</v>
      </c>
      <c r="AC104" s="29" t="s">
        <v>429</v>
      </c>
      <c r="AD104" s="29" t="s">
        <v>430</v>
      </c>
      <c r="AE104" s="343" t="s">
        <v>351</v>
      </c>
      <c r="AF104" s="380" t="s">
        <v>666</v>
      </c>
      <c r="AG104" s="368">
        <v>100000000</v>
      </c>
      <c r="AH104" s="339" t="s">
        <v>52</v>
      </c>
      <c r="AI104" s="206" t="s">
        <v>49</v>
      </c>
      <c r="AJ104" s="206"/>
      <c r="AK104" s="206"/>
      <c r="AL104" s="206"/>
      <c r="AM104" s="596"/>
      <c r="AN104" s="596"/>
      <c r="AO104" s="596"/>
      <c r="AP104" s="596"/>
      <c r="AQ104" s="433">
        <v>396987031</v>
      </c>
      <c r="AR104" s="470" t="s">
        <v>1060</v>
      </c>
      <c r="AS104" s="339" t="s">
        <v>266</v>
      </c>
      <c r="AT104" s="616"/>
      <c r="AU104" s="616"/>
      <c r="AV104" s="616"/>
      <c r="AW104" s="616"/>
      <c r="AX104" s="622"/>
      <c r="AY104" s="593"/>
      <c r="AZ104" s="622"/>
      <c r="BA104" s="593"/>
      <c r="BB104" s="596"/>
      <c r="BC104" s="608"/>
      <c r="BD104" s="596"/>
      <c r="BE104" s="608"/>
      <c r="BF104" s="433">
        <v>72282051.849999994</v>
      </c>
      <c r="BG104" s="339"/>
      <c r="BH104" s="433">
        <v>72282051.849999994</v>
      </c>
      <c r="BI104" s="339"/>
      <c r="BJ104" s="29" t="s">
        <v>922</v>
      </c>
      <c r="BK104" s="678"/>
    </row>
    <row r="105" spans="1:63" ht="25.8" customHeight="1">
      <c r="A105" s="29" t="s">
        <v>259</v>
      </c>
      <c r="B105" s="29" t="s">
        <v>201</v>
      </c>
      <c r="C105" s="334" t="s">
        <v>363</v>
      </c>
      <c r="D105" s="29" t="s">
        <v>219</v>
      </c>
      <c r="E105" s="368" t="s">
        <v>266</v>
      </c>
      <c r="F105" s="335">
        <v>2024130010129</v>
      </c>
      <c r="G105" s="29" t="s">
        <v>274</v>
      </c>
      <c r="H105" s="29" t="s">
        <v>287</v>
      </c>
      <c r="I105" s="29" t="s">
        <v>417</v>
      </c>
      <c r="J105" s="353">
        <v>34493</v>
      </c>
      <c r="K105" s="379">
        <v>0.55000000000000004</v>
      </c>
      <c r="L105" s="339" t="s">
        <v>312</v>
      </c>
      <c r="M105" s="339"/>
      <c r="N105" s="339" t="s">
        <v>808</v>
      </c>
      <c r="O105" s="339">
        <v>57272</v>
      </c>
      <c r="P105" s="340">
        <v>47300</v>
      </c>
      <c r="Q105" s="457">
        <v>4292</v>
      </c>
      <c r="R105" s="458">
        <f t="shared" si="12"/>
        <v>30201</v>
      </c>
      <c r="S105" s="396">
        <v>11688</v>
      </c>
      <c r="T105" s="435">
        <v>13464</v>
      </c>
      <c r="U105" s="337">
        <f t="shared" si="6"/>
        <v>59645</v>
      </c>
      <c r="V105" s="349">
        <v>1</v>
      </c>
      <c r="W105" s="341">
        <v>45660</v>
      </c>
      <c r="X105" s="341">
        <v>46022</v>
      </c>
      <c r="Y105" s="342">
        <f t="shared" si="7"/>
        <v>362</v>
      </c>
      <c r="Z105" s="353">
        <v>47300</v>
      </c>
      <c r="AA105" s="339" t="s">
        <v>352</v>
      </c>
      <c r="AB105" s="206" t="s">
        <v>368</v>
      </c>
      <c r="AC105" s="29" t="s">
        <v>431</v>
      </c>
      <c r="AD105" s="29" t="s">
        <v>432</v>
      </c>
      <c r="AE105" s="343" t="s">
        <v>351</v>
      </c>
      <c r="AF105" s="380" t="s">
        <v>596</v>
      </c>
      <c r="AG105" s="368">
        <v>316512000</v>
      </c>
      <c r="AH105" s="206"/>
      <c r="AI105" s="380" t="s">
        <v>681</v>
      </c>
      <c r="AJ105" s="206"/>
      <c r="AK105" s="206"/>
      <c r="AL105" s="345" t="s">
        <v>875</v>
      </c>
      <c r="AM105" s="596"/>
      <c r="AN105" s="596"/>
      <c r="AO105" s="596"/>
      <c r="AP105" s="596"/>
      <c r="AQ105" s="433">
        <v>72282051.849999994</v>
      </c>
      <c r="AR105" s="470" t="s">
        <v>1061</v>
      </c>
      <c r="AS105" s="339" t="s">
        <v>266</v>
      </c>
      <c r="AT105" s="616"/>
      <c r="AU105" s="616"/>
      <c r="AV105" s="616"/>
      <c r="AW105" s="616"/>
      <c r="AX105" s="622"/>
      <c r="AY105" s="593"/>
      <c r="AZ105" s="622"/>
      <c r="BA105" s="593"/>
      <c r="BB105" s="596"/>
      <c r="BC105" s="608"/>
      <c r="BD105" s="596"/>
      <c r="BE105" s="608"/>
      <c r="BF105" s="433">
        <v>396987031</v>
      </c>
      <c r="BG105" s="339"/>
      <c r="BH105" s="433">
        <v>396987031</v>
      </c>
      <c r="BI105" s="339"/>
      <c r="BJ105" s="29" t="s">
        <v>922</v>
      </c>
      <c r="BK105" s="678"/>
    </row>
    <row r="106" spans="1:63" ht="25.8" customHeight="1">
      <c r="A106" s="29" t="s">
        <v>259</v>
      </c>
      <c r="B106" s="29" t="s">
        <v>201</v>
      </c>
      <c r="C106" s="334" t="s">
        <v>363</v>
      </c>
      <c r="D106" s="29" t="s">
        <v>219</v>
      </c>
      <c r="E106" s="368" t="s">
        <v>266</v>
      </c>
      <c r="F106" s="335">
        <v>2024130010129</v>
      </c>
      <c r="G106" s="29" t="s">
        <v>274</v>
      </c>
      <c r="H106" s="29" t="s">
        <v>287</v>
      </c>
      <c r="I106" s="29" t="s">
        <v>417</v>
      </c>
      <c r="J106" s="353">
        <v>34493</v>
      </c>
      <c r="K106" s="379">
        <v>0.55000000000000004</v>
      </c>
      <c r="L106" s="339" t="s">
        <v>312</v>
      </c>
      <c r="M106" s="339"/>
      <c r="N106" s="339" t="s">
        <v>809</v>
      </c>
      <c r="O106" s="339">
        <v>57272</v>
      </c>
      <c r="P106" s="340">
        <v>47300</v>
      </c>
      <c r="Q106" s="457">
        <v>4292</v>
      </c>
      <c r="R106" s="458">
        <f t="shared" si="12"/>
        <v>30201</v>
      </c>
      <c r="S106" s="396">
        <v>11688</v>
      </c>
      <c r="T106" s="435">
        <v>13464</v>
      </c>
      <c r="U106" s="337">
        <f t="shared" si="6"/>
        <v>59645</v>
      </c>
      <c r="V106" s="349">
        <v>1</v>
      </c>
      <c r="W106" s="341">
        <v>45660</v>
      </c>
      <c r="X106" s="341">
        <v>46022</v>
      </c>
      <c r="Y106" s="342">
        <f t="shared" si="7"/>
        <v>362</v>
      </c>
      <c r="Z106" s="353">
        <v>47300</v>
      </c>
      <c r="AA106" s="339" t="s">
        <v>352</v>
      </c>
      <c r="AB106" s="206" t="s">
        <v>368</v>
      </c>
      <c r="AC106" s="29" t="s">
        <v>431</v>
      </c>
      <c r="AD106" s="29" t="s">
        <v>432</v>
      </c>
      <c r="AE106" s="343" t="s">
        <v>351</v>
      </c>
      <c r="AF106" s="380" t="s">
        <v>697</v>
      </c>
      <c r="AG106" s="368">
        <v>97000000</v>
      </c>
      <c r="AH106" s="206"/>
      <c r="AI106" s="380" t="s">
        <v>681</v>
      </c>
      <c r="AJ106" s="206"/>
      <c r="AK106" s="206"/>
      <c r="AL106" s="345" t="s">
        <v>873</v>
      </c>
      <c r="AM106" s="596"/>
      <c r="AN106" s="596"/>
      <c r="AO106" s="596"/>
      <c r="AP106" s="596"/>
      <c r="AQ106" s="206"/>
      <c r="AR106" s="469"/>
      <c r="AS106" s="339" t="s">
        <v>266</v>
      </c>
      <c r="AT106" s="616"/>
      <c r="AU106" s="616"/>
      <c r="AV106" s="616"/>
      <c r="AW106" s="616"/>
      <c r="AX106" s="622"/>
      <c r="AY106" s="593"/>
      <c r="AZ106" s="622"/>
      <c r="BA106" s="593"/>
      <c r="BB106" s="596"/>
      <c r="BC106" s="608"/>
      <c r="BD106" s="596"/>
      <c r="BE106" s="608"/>
      <c r="BF106" s="339"/>
      <c r="BG106" s="339"/>
      <c r="BH106" s="339"/>
      <c r="BI106" s="339"/>
      <c r="BJ106" s="29" t="s">
        <v>922</v>
      </c>
      <c r="BK106" s="678"/>
    </row>
    <row r="107" spans="1:63" ht="25.8" customHeight="1">
      <c r="A107" s="29" t="s">
        <v>259</v>
      </c>
      <c r="B107" s="29" t="s">
        <v>201</v>
      </c>
      <c r="C107" s="334" t="s">
        <v>363</v>
      </c>
      <c r="D107" s="29" t="s">
        <v>219</v>
      </c>
      <c r="E107" s="368" t="s">
        <v>266</v>
      </c>
      <c r="F107" s="335">
        <v>2024130010129</v>
      </c>
      <c r="G107" s="29" t="s">
        <v>274</v>
      </c>
      <c r="H107" s="29" t="s">
        <v>287</v>
      </c>
      <c r="I107" s="29" t="s">
        <v>417</v>
      </c>
      <c r="J107" s="353">
        <v>34493</v>
      </c>
      <c r="K107" s="379">
        <v>0.55000000000000004</v>
      </c>
      <c r="L107" s="339" t="s">
        <v>309</v>
      </c>
      <c r="M107" s="339"/>
      <c r="N107" s="339" t="s">
        <v>809</v>
      </c>
      <c r="O107" s="339">
        <v>57272</v>
      </c>
      <c r="P107" s="340">
        <v>47300</v>
      </c>
      <c r="Q107" s="457">
        <v>4292</v>
      </c>
      <c r="R107" s="458">
        <f t="shared" si="12"/>
        <v>30201</v>
      </c>
      <c r="S107" s="396">
        <v>11688</v>
      </c>
      <c r="T107" s="435">
        <v>13464</v>
      </c>
      <c r="U107" s="337">
        <f t="shared" si="6"/>
        <v>59645</v>
      </c>
      <c r="V107" s="349">
        <v>1</v>
      </c>
      <c r="W107" s="341">
        <v>45660</v>
      </c>
      <c r="X107" s="341">
        <v>46022</v>
      </c>
      <c r="Y107" s="342">
        <f t="shared" si="7"/>
        <v>362</v>
      </c>
      <c r="Z107" s="353">
        <v>47300</v>
      </c>
      <c r="AA107" s="339" t="s">
        <v>352</v>
      </c>
      <c r="AB107" s="206" t="s">
        <v>368</v>
      </c>
      <c r="AC107" s="29" t="s">
        <v>431</v>
      </c>
      <c r="AD107" s="29" t="s">
        <v>432</v>
      </c>
      <c r="AE107" s="343" t="s">
        <v>351</v>
      </c>
      <c r="AF107" s="380" t="s">
        <v>596</v>
      </c>
      <c r="AG107" s="368">
        <v>50400000</v>
      </c>
      <c r="AH107" s="206"/>
      <c r="AI107" s="206" t="s">
        <v>49</v>
      </c>
      <c r="AJ107" s="206"/>
      <c r="AK107" s="206"/>
      <c r="AL107" s="345" t="s">
        <v>876</v>
      </c>
      <c r="AM107" s="596"/>
      <c r="AN107" s="596"/>
      <c r="AO107" s="596"/>
      <c r="AP107" s="596"/>
      <c r="AQ107" s="206"/>
      <c r="AR107" s="469"/>
      <c r="AS107" s="339" t="s">
        <v>266</v>
      </c>
      <c r="AT107" s="616"/>
      <c r="AU107" s="616"/>
      <c r="AV107" s="616"/>
      <c r="AW107" s="616"/>
      <c r="AX107" s="622"/>
      <c r="AY107" s="593"/>
      <c r="AZ107" s="622"/>
      <c r="BA107" s="593"/>
      <c r="BB107" s="596"/>
      <c r="BC107" s="608"/>
      <c r="BD107" s="596"/>
      <c r="BE107" s="608"/>
      <c r="BF107" s="339"/>
      <c r="BG107" s="339"/>
      <c r="BH107" s="339"/>
      <c r="BI107" s="339"/>
      <c r="BJ107" s="29" t="s">
        <v>922</v>
      </c>
      <c r="BK107" s="678"/>
    </row>
    <row r="108" spans="1:63" ht="25.8" customHeight="1">
      <c r="A108" s="29" t="s">
        <v>259</v>
      </c>
      <c r="B108" s="29" t="s">
        <v>201</v>
      </c>
      <c r="C108" s="334" t="s">
        <v>363</v>
      </c>
      <c r="D108" s="29" t="s">
        <v>219</v>
      </c>
      <c r="E108" s="368" t="s">
        <v>266</v>
      </c>
      <c r="F108" s="335">
        <v>2024130010129</v>
      </c>
      <c r="G108" s="29" t="s">
        <v>274</v>
      </c>
      <c r="H108" s="29" t="s">
        <v>287</v>
      </c>
      <c r="I108" s="29" t="s">
        <v>417</v>
      </c>
      <c r="J108" s="353">
        <v>34493</v>
      </c>
      <c r="K108" s="379">
        <v>0.55000000000000004</v>
      </c>
      <c r="L108" s="339" t="s">
        <v>308</v>
      </c>
      <c r="M108" s="339"/>
      <c r="N108" s="339" t="s">
        <v>809</v>
      </c>
      <c r="O108" s="339">
        <v>57272</v>
      </c>
      <c r="P108" s="340">
        <v>47300</v>
      </c>
      <c r="Q108" s="457">
        <v>4292</v>
      </c>
      <c r="R108" s="458">
        <f t="shared" si="12"/>
        <v>30201</v>
      </c>
      <c r="S108" s="396">
        <v>11688</v>
      </c>
      <c r="T108" s="435">
        <v>13464</v>
      </c>
      <c r="U108" s="337">
        <f t="shared" si="6"/>
        <v>59645</v>
      </c>
      <c r="V108" s="349">
        <v>1</v>
      </c>
      <c r="W108" s="341">
        <v>45660</v>
      </c>
      <c r="X108" s="341">
        <v>46022</v>
      </c>
      <c r="Y108" s="342">
        <f t="shared" si="7"/>
        <v>362</v>
      </c>
      <c r="Z108" s="353">
        <v>47300</v>
      </c>
      <c r="AA108" s="339" t="s">
        <v>352</v>
      </c>
      <c r="AB108" s="206" t="s">
        <v>368</v>
      </c>
      <c r="AC108" s="29" t="s">
        <v>431</v>
      </c>
      <c r="AD108" s="29" t="s">
        <v>432</v>
      </c>
      <c r="AE108" s="343" t="s">
        <v>351</v>
      </c>
      <c r="AF108" s="380" t="s">
        <v>596</v>
      </c>
      <c r="AG108" s="368">
        <v>90720000</v>
      </c>
      <c r="AH108" s="206"/>
      <c r="AI108" s="206" t="s">
        <v>49</v>
      </c>
      <c r="AJ108" s="206"/>
      <c r="AK108" s="206"/>
      <c r="AL108" s="345" t="s">
        <v>877</v>
      </c>
      <c r="AM108" s="596"/>
      <c r="AN108" s="596"/>
      <c r="AO108" s="596"/>
      <c r="AP108" s="596"/>
      <c r="AQ108" s="206"/>
      <c r="AR108" s="469"/>
      <c r="AS108" s="339" t="s">
        <v>266</v>
      </c>
      <c r="AT108" s="616"/>
      <c r="AU108" s="616"/>
      <c r="AV108" s="616"/>
      <c r="AW108" s="616"/>
      <c r="AX108" s="622"/>
      <c r="AY108" s="593"/>
      <c r="AZ108" s="622"/>
      <c r="BA108" s="593"/>
      <c r="BB108" s="596"/>
      <c r="BC108" s="608"/>
      <c r="BD108" s="596"/>
      <c r="BE108" s="608"/>
      <c r="BF108" s="339"/>
      <c r="BG108" s="339"/>
      <c r="BH108" s="339"/>
      <c r="BI108" s="339"/>
      <c r="BJ108" s="29" t="s">
        <v>922</v>
      </c>
      <c r="BK108" s="678"/>
    </row>
    <row r="109" spans="1:63" ht="25.8" customHeight="1">
      <c r="A109" s="29" t="s">
        <v>259</v>
      </c>
      <c r="B109" s="29" t="s">
        <v>201</v>
      </c>
      <c r="C109" s="334" t="s">
        <v>363</v>
      </c>
      <c r="D109" s="29" t="s">
        <v>219</v>
      </c>
      <c r="E109" s="368" t="s">
        <v>266</v>
      </c>
      <c r="F109" s="335">
        <v>2024130010129</v>
      </c>
      <c r="G109" s="29" t="s">
        <v>274</v>
      </c>
      <c r="H109" s="29" t="s">
        <v>287</v>
      </c>
      <c r="I109" s="29" t="s">
        <v>417</v>
      </c>
      <c r="J109" s="353">
        <v>34493</v>
      </c>
      <c r="K109" s="379">
        <v>0.55000000000000004</v>
      </c>
      <c r="L109" s="339" t="s">
        <v>314</v>
      </c>
      <c r="M109" s="339"/>
      <c r="N109" s="339" t="s">
        <v>809</v>
      </c>
      <c r="O109" s="339">
        <v>57272</v>
      </c>
      <c r="P109" s="340">
        <v>47300</v>
      </c>
      <c r="Q109" s="457">
        <v>4292</v>
      </c>
      <c r="R109" s="458">
        <f t="shared" si="12"/>
        <v>30201</v>
      </c>
      <c r="S109" s="396">
        <v>11688</v>
      </c>
      <c r="T109" s="435">
        <v>13464</v>
      </c>
      <c r="U109" s="337">
        <f t="shared" si="6"/>
        <v>59645</v>
      </c>
      <c r="V109" s="349">
        <v>1</v>
      </c>
      <c r="W109" s="341">
        <v>45660</v>
      </c>
      <c r="X109" s="341">
        <v>46022</v>
      </c>
      <c r="Y109" s="342">
        <f t="shared" si="7"/>
        <v>362</v>
      </c>
      <c r="Z109" s="353">
        <v>47300</v>
      </c>
      <c r="AA109" s="339" t="s">
        <v>352</v>
      </c>
      <c r="AB109" s="206" t="s">
        <v>368</v>
      </c>
      <c r="AC109" s="29" t="s">
        <v>433</v>
      </c>
      <c r="AD109" s="29" t="s">
        <v>434</v>
      </c>
      <c r="AE109" s="343" t="s">
        <v>351</v>
      </c>
      <c r="AF109" s="380" t="s">
        <v>596</v>
      </c>
      <c r="AG109" s="368">
        <v>293580000</v>
      </c>
      <c r="AH109" s="206"/>
      <c r="AI109" s="380" t="s">
        <v>681</v>
      </c>
      <c r="AJ109" s="206"/>
      <c r="AK109" s="206"/>
      <c r="AL109" s="345" t="s">
        <v>878</v>
      </c>
      <c r="AM109" s="596"/>
      <c r="AN109" s="596"/>
      <c r="AO109" s="596"/>
      <c r="AP109" s="596"/>
      <c r="AQ109" s="206"/>
      <c r="AR109" s="469"/>
      <c r="AS109" s="339" t="s">
        <v>266</v>
      </c>
      <c r="AT109" s="616"/>
      <c r="AU109" s="616"/>
      <c r="AV109" s="616"/>
      <c r="AW109" s="616"/>
      <c r="AX109" s="622"/>
      <c r="AY109" s="593"/>
      <c r="AZ109" s="622"/>
      <c r="BA109" s="593"/>
      <c r="BB109" s="596"/>
      <c r="BC109" s="608"/>
      <c r="BD109" s="596"/>
      <c r="BE109" s="608"/>
      <c r="BF109" s="339"/>
      <c r="BG109" s="339"/>
      <c r="BH109" s="339"/>
      <c r="BI109" s="339"/>
      <c r="BJ109" s="29" t="s">
        <v>922</v>
      </c>
      <c r="BK109" s="678"/>
    </row>
    <row r="110" spans="1:63" ht="25.8" customHeight="1">
      <c r="A110" s="29" t="s">
        <v>259</v>
      </c>
      <c r="B110" s="29" t="s">
        <v>201</v>
      </c>
      <c r="C110" s="334" t="s">
        <v>363</v>
      </c>
      <c r="D110" s="29" t="s">
        <v>219</v>
      </c>
      <c r="E110" s="368" t="s">
        <v>266</v>
      </c>
      <c r="F110" s="335">
        <v>2024130010129</v>
      </c>
      <c r="G110" s="29" t="s">
        <v>274</v>
      </c>
      <c r="H110" s="29" t="s">
        <v>287</v>
      </c>
      <c r="I110" s="29" t="s">
        <v>417</v>
      </c>
      <c r="J110" s="353">
        <v>34493</v>
      </c>
      <c r="K110" s="379">
        <v>0.55000000000000004</v>
      </c>
      <c r="L110" s="339" t="s">
        <v>313</v>
      </c>
      <c r="M110" s="339"/>
      <c r="N110" s="339" t="s">
        <v>809</v>
      </c>
      <c r="O110" s="339">
        <v>57272</v>
      </c>
      <c r="P110" s="340">
        <v>47300</v>
      </c>
      <c r="Q110" s="457">
        <v>4292</v>
      </c>
      <c r="R110" s="458">
        <f t="shared" si="12"/>
        <v>30201</v>
      </c>
      <c r="S110" s="396">
        <v>11688</v>
      </c>
      <c r="T110" s="435">
        <v>13464</v>
      </c>
      <c r="U110" s="337">
        <f t="shared" si="6"/>
        <v>59645</v>
      </c>
      <c r="V110" s="349">
        <v>1</v>
      </c>
      <c r="W110" s="341">
        <v>45660</v>
      </c>
      <c r="X110" s="341">
        <v>46022</v>
      </c>
      <c r="Y110" s="342">
        <f t="shared" si="7"/>
        <v>362</v>
      </c>
      <c r="Z110" s="353">
        <v>47300</v>
      </c>
      <c r="AA110" s="339" t="s">
        <v>352</v>
      </c>
      <c r="AB110" s="206" t="s">
        <v>368</v>
      </c>
      <c r="AC110" s="29" t="s">
        <v>433</v>
      </c>
      <c r="AD110" s="29" t="s">
        <v>434</v>
      </c>
      <c r="AE110" s="343" t="s">
        <v>351</v>
      </c>
      <c r="AF110" s="380" t="s">
        <v>596</v>
      </c>
      <c r="AG110" s="368">
        <v>50400000</v>
      </c>
      <c r="AH110" s="206"/>
      <c r="AI110" s="206" t="s">
        <v>49</v>
      </c>
      <c r="AJ110" s="206"/>
      <c r="AK110" s="206"/>
      <c r="AL110" s="345" t="s">
        <v>879</v>
      </c>
      <c r="AM110" s="596"/>
      <c r="AN110" s="596"/>
      <c r="AO110" s="596"/>
      <c r="AP110" s="596"/>
      <c r="AQ110" s="206"/>
      <c r="AR110" s="469"/>
      <c r="AS110" s="339" t="s">
        <v>266</v>
      </c>
      <c r="AT110" s="616"/>
      <c r="AU110" s="616"/>
      <c r="AV110" s="616"/>
      <c r="AW110" s="616"/>
      <c r="AX110" s="622"/>
      <c r="AY110" s="593"/>
      <c r="AZ110" s="622"/>
      <c r="BA110" s="593"/>
      <c r="BB110" s="596"/>
      <c r="BC110" s="608"/>
      <c r="BD110" s="596"/>
      <c r="BE110" s="608"/>
      <c r="BF110" s="339"/>
      <c r="BG110" s="339"/>
      <c r="BH110" s="339"/>
      <c r="BI110" s="339"/>
      <c r="BJ110" s="29" t="s">
        <v>922</v>
      </c>
      <c r="BK110" s="678"/>
    </row>
    <row r="111" spans="1:63" ht="25.8" customHeight="1">
      <c r="A111" s="29" t="s">
        <v>259</v>
      </c>
      <c r="B111" s="29" t="s">
        <v>201</v>
      </c>
      <c r="C111" s="334" t="s">
        <v>363</v>
      </c>
      <c r="D111" s="29" t="s">
        <v>219</v>
      </c>
      <c r="E111" s="368" t="s">
        <v>266</v>
      </c>
      <c r="F111" s="335">
        <v>2024130010129</v>
      </c>
      <c r="G111" s="29" t="s">
        <v>274</v>
      </c>
      <c r="H111" s="29" t="s">
        <v>287</v>
      </c>
      <c r="I111" s="29" t="s">
        <v>417</v>
      </c>
      <c r="J111" s="353">
        <v>34493</v>
      </c>
      <c r="K111" s="379">
        <v>0.55000000000000004</v>
      </c>
      <c r="L111" s="339" t="s">
        <v>313</v>
      </c>
      <c r="M111" s="339"/>
      <c r="N111" s="339" t="s">
        <v>809</v>
      </c>
      <c r="O111" s="339">
        <v>57272</v>
      </c>
      <c r="P111" s="340">
        <v>47300</v>
      </c>
      <c r="Q111" s="457">
        <v>4292</v>
      </c>
      <c r="R111" s="458">
        <f t="shared" si="12"/>
        <v>30201</v>
      </c>
      <c r="S111" s="396">
        <v>11688</v>
      </c>
      <c r="T111" s="435">
        <v>13464</v>
      </c>
      <c r="U111" s="337">
        <f t="shared" si="6"/>
        <v>59645</v>
      </c>
      <c r="V111" s="349">
        <v>1</v>
      </c>
      <c r="W111" s="341">
        <v>45660</v>
      </c>
      <c r="X111" s="341">
        <v>46022</v>
      </c>
      <c r="Y111" s="342">
        <f t="shared" si="7"/>
        <v>362</v>
      </c>
      <c r="Z111" s="353">
        <v>47300</v>
      </c>
      <c r="AA111" s="339" t="s">
        <v>352</v>
      </c>
      <c r="AB111" s="206" t="s">
        <v>368</v>
      </c>
      <c r="AC111" s="29" t="s">
        <v>433</v>
      </c>
      <c r="AD111" s="29" t="s">
        <v>434</v>
      </c>
      <c r="AE111" s="343" t="s">
        <v>351</v>
      </c>
      <c r="AF111" s="380" t="s">
        <v>697</v>
      </c>
      <c r="AG111" s="368">
        <v>97000000</v>
      </c>
      <c r="AH111" s="206"/>
      <c r="AI111" s="206" t="s">
        <v>49</v>
      </c>
      <c r="AJ111" s="206"/>
      <c r="AK111" s="206"/>
      <c r="AL111" s="345" t="s">
        <v>873</v>
      </c>
      <c r="AM111" s="596"/>
      <c r="AN111" s="596"/>
      <c r="AO111" s="596"/>
      <c r="AP111" s="596"/>
      <c r="AQ111" s="206"/>
      <c r="AR111" s="469"/>
      <c r="AS111" s="339" t="s">
        <v>266</v>
      </c>
      <c r="AT111" s="616"/>
      <c r="AU111" s="616"/>
      <c r="AV111" s="616"/>
      <c r="AW111" s="616"/>
      <c r="AX111" s="622"/>
      <c r="AY111" s="593"/>
      <c r="AZ111" s="622"/>
      <c r="BA111" s="593"/>
      <c r="BB111" s="596"/>
      <c r="BC111" s="608"/>
      <c r="BD111" s="596"/>
      <c r="BE111" s="608"/>
      <c r="BF111" s="339"/>
      <c r="BG111" s="339"/>
      <c r="BH111" s="339"/>
      <c r="BI111" s="339"/>
      <c r="BJ111" s="29" t="s">
        <v>922</v>
      </c>
      <c r="BK111" s="678"/>
    </row>
    <row r="112" spans="1:63" ht="25.8" customHeight="1">
      <c r="A112" s="29" t="s">
        <v>259</v>
      </c>
      <c r="B112" s="29" t="s">
        <v>201</v>
      </c>
      <c r="C112" s="334" t="s">
        <v>363</v>
      </c>
      <c r="D112" s="29" t="s">
        <v>219</v>
      </c>
      <c r="E112" s="368" t="s">
        <v>266</v>
      </c>
      <c r="F112" s="335">
        <v>2024130010129</v>
      </c>
      <c r="G112" s="29" t="s">
        <v>274</v>
      </c>
      <c r="H112" s="29" t="s">
        <v>287</v>
      </c>
      <c r="I112" s="29" t="s">
        <v>417</v>
      </c>
      <c r="J112" s="353">
        <v>34493</v>
      </c>
      <c r="K112" s="379">
        <v>0.55000000000000004</v>
      </c>
      <c r="L112" s="339" t="s">
        <v>310</v>
      </c>
      <c r="M112" s="339" t="s">
        <v>632</v>
      </c>
      <c r="N112" s="339" t="s">
        <v>809</v>
      </c>
      <c r="O112" s="339">
        <v>57272</v>
      </c>
      <c r="P112" s="340">
        <v>47300</v>
      </c>
      <c r="Q112" s="457">
        <v>4292</v>
      </c>
      <c r="R112" s="458">
        <f t="shared" si="12"/>
        <v>30201</v>
      </c>
      <c r="S112" s="396">
        <v>11688</v>
      </c>
      <c r="T112" s="435">
        <v>13464</v>
      </c>
      <c r="U112" s="337">
        <f t="shared" si="6"/>
        <v>59645</v>
      </c>
      <c r="V112" s="349">
        <v>1</v>
      </c>
      <c r="W112" s="341">
        <v>45660</v>
      </c>
      <c r="X112" s="341">
        <v>46022</v>
      </c>
      <c r="Y112" s="342">
        <f t="shared" si="7"/>
        <v>362</v>
      </c>
      <c r="Z112" s="353">
        <v>47300</v>
      </c>
      <c r="AA112" s="339" t="s">
        <v>352</v>
      </c>
      <c r="AB112" s="206" t="s">
        <v>368</v>
      </c>
      <c r="AC112" s="29" t="s">
        <v>433</v>
      </c>
      <c r="AD112" s="29" t="s">
        <v>434</v>
      </c>
      <c r="AE112" s="343" t="s">
        <v>351</v>
      </c>
      <c r="AF112" s="380" t="s">
        <v>596</v>
      </c>
      <c r="AG112" s="368">
        <v>236880000</v>
      </c>
      <c r="AH112" s="206"/>
      <c r="AI112" s="206" t="s">
        <v>49</v>
      </c>
      <c r="AJ112" s="206"/>
      <c r="AK112" s="206"/>
      <c r="AL112" s="345" t="s">
        <v>880</v>
      </c>
      <c r="AM112" s="596"/>
      <c r="AN112" s="596"/>
      <c r="AO112" s="596"/>
      <c r="AP112" s="596"/>
      <c r="AQ112" s="206"/>
      <c r="AR112" s="469"/>
      <c r="AS112" s="339" t="s">
        <v>266</v>
      </c>
      <c r="AT112" s="616"/>
      <c r="AU112" s="616"/>
      <c r="AV112" s="616"/>
      <c r="AW112" s="616"/>
      <c r="AX112" s="622"/>
      <c r="AY112" s="593"/>
      <c r="AZ112" s="622"/>
      <c r="BA112" s="593"/>
      <c r="BB112" s="596"/>
      <c r="BC112" s="608"/>
      <c r="BD112" s="596"/>
      <c r="BE112" s="608"/>
      <c r="BF112" s="339"/>
      <c r="BG112" s="339"/>
      <c r="BH112" s="339"/>
      <c r="BI112" s="339"/>
      <c r="BJ112" s="29" t="s">
        <v>922</v>
      </c>
      <c r="BK112" s="678"/>
    </row>
    <row r="113" spans="1:63" ht="25.8" customHeight="1">
      <c r="A113" s="29" t="s">
        <v>259</v>
      </c>
      <c r="B113" s="29" t="s">
        <v>201</v>
      </c>
      <c r="C113" s="334" t="s">
        <v>363</v>
      </c>
      <c r="D113" s="29" t="s">
        <v>219</v>
      </c>
      <c r="E113" s="368" t="s">
        <v>266</v>
      </c>
      <c r="F113" s="335">
        <v>2024130010129</v>
      </c>
      <c r="G113" s="29" t="s">
        <v>274</v>
      </c>
      <c r="H113" s="29" t="s">
        <v>287</v>
      </c>
      <c r="I113" s="29" t="s">
        <v>417</v>
      </c>
      <c r="J113" s="353">
        <v>34493</v>
      </c>
      <c r="K113" s="379">
        <v>0.55000000000000004</v>
      </c>
      <c r="L113" s="339" t="s">
        <v>311</v>
      </c>
      <c r="M113" s="339"/>
      <c r="N113" s="339" t="s">
        <v>810</v>
      </c>
      <c r="O113" s="339">
        <v>57272</v>
      </c>
      <c r="P113" s="340">
        <v>47300</v>
      </c>
      <c r="Q113" s="457">
        <v>4292</v>
      </c>
      <c r="R113" s="458">
        <f t="shared" si="12"/>
        <v>30201</v>
      </c>
      <c r="S113" s="396">
        <v>11688</v>
      </c>
      <c r="T113" s="435">
        <v>13464</v>
      </c>
      <c r="U113" s="337">
        <f t="shared" si="6"/>
        <v>59645</v>
      </c>
      <c r="V113" s="349">
        <v>1</v>
      </c>
      <c r="W113" s="341">
        <v>45660</v>
      </c>
      <c r="X113" s="341">
        <v>46022</v>
      </c>
      <c r="Y113" s="342">
        <f t="shared" si="7"/>
        <v>362</v>
      </c>
      <c r="Z113" s="353">
        <v>47300</v>
      </c>
      <c r="AA113" s="339" t="s">
        <v>352</v>
      </c>
      <c r="AB113" s="206" t="s">
        <v>368</v>
      </c>
      <c r="AC113" s="29" t="s">
        <v>435</v>
      </c>
      <c r="AD113" s="29" t="s">
        <v>436</v>
      </c>
      <c r="AE113" s="343" t="s">
        <v>351</v>
      </c>
      <c r="AF113" s="380" t="s">
        <v>596</v>
      </c>
      <c r="AG113" s="368">
        <v>216720000</v>
      </c>
      <c r="AH113" s="206"/>
      <c r="AI113" s="380" t="s">
        <v>681</v>
      </c>
      <c r="AJ113" s="206"/>
      <c r="AK113" s="206"/>
      <c r="AL113" s="345" t="s">
        <v>881</v>
      </c>
      <c r="AM113" s="596"/>
      <c r="AN113" s="596"/>
      <c r="AO113" s="596"/>
      <c r="AP113" s="596"/>
      <c r="AQ113" s="206"/>
      <c r="AR113" s="469"/>
      <c r="AS113" s="339" t="s">
        <v>266</v>
      </c>
      <c r="AT113" s="616"/>
      <c r="AU113" s="616"/>
      <c r="AV113" s="616"/>
      <c r="AW113" s="616"/>
      <c r="AX113" s="622"/>
      <c r="AY113" s="593"/>
      <c r="AZ113" s="622"/>
      <c r="BA113" s="593"/>
      <c r="BB113" s="596"/>
      <c r="BC113" s="608"/>
      <c r="BD113" s="596"/>
      <c r="BE113" s="608"/>
      <c r="BF113" s="339"/>
      <c r="BG113" s="339"/>
      <c r="BH113" s="339"/>
      <c r="BI113" s="339"/>
      <c r="BJ113" s="29" t="s">
        <v>922</v>
      </c>
      <c r="BK113" s="678"/>
    </row>
    <row r="114" spans="1:63" ht="25.8" customHeight="1">
      <c r="A114" s="29" t="s">
        <v>259</v>
      </c>
      <c r="B114" s="29" t="s">
        <v>201</v>
      </c>
      <c r="C114" s="334" t="s">
        <v>363</v>
      </c>
      <c r="D114" s="29" t="s">
        <v>219</v>
      </c>
      <c r="E114" s="368" t="s">
        <v>266</v>
      </c>
      <c r="F114" s="335">
        <v>2024130010129</v>
      </c>
      <c r="G114" s="29" t="s">
        <v>274</v>
      </c>
      <c r="H114" s="29" t="s">
        <v>287</v>
      </c>
      <c r="I114" s="29" t="s">
        <v>417</v>
      </c>
      <c r="J114" s="353">
        <v>34493</v>
      </c>
      <c r="K114" s="379">
        <v>0.5</v>
      </c>
      <c r="L114" s="339" t="s">
        <v>311</v>
      </c>
      <c r="M114" s="339"/>
      <c r="N114" s="339" t="s">
        <v>810</v>
      </c>
      <c r="O114" s="339">
        <v>57272</v>
      </c>
      <c r="P114" s="340">
        <v>47300</v>
      </c>
      <c r="Q114" s="457">
        <v>4292</v>
      </c>
      <c r="R114" s="458">
        <f t="shared" si="12"/>
        <v>30201</v>
      </c>
      <c r="S114" s="396">
        <v>11688</v>
      </c>
      <c r="T114" s="435">
        <v>13464</v>
      </c>
      <c r="U114" s="337">
        <f t="shared" si="6"/>
        <v>59645</v>
      </c>
      <c r="V114" s="349">
        <v>1</v>
      </c>
      <c r="W114" s="341">
        <v>45660</v>
      </c>
      <c r="X114" s="341">
        <v>46022</v>
      </c>
      <c r="Y114" s="342">
        <f t="shared" si="7"/>
        <v>362</v>
      </c>
      <c r="Z114" s="353">
        <v>47300</v>
      </c>
      <c r="AA114" s="339" t="s">
        <v>352</v>
      </c>
      <c r="AB114" s="206" t="s">
        <v>368</v>
      </c>
      <c r="AC114" s="343" t="s">
        <v>437</v>
      </c>
      <c r="AD114" s="29" t="s">
        <v>436</v>
      </c>
      <c r="AE114" s="343" t="s">
        <v>351</v>
      </c>
      <c r="AF114" s="380" t="s">
        <v>698</v>
      </c>
      <c r="AG114" s="368">
        <v>233697961</v>
      </c>
      <c r="AH114" s="206"/>
      <c r="AI114" s="380" t="s">
        <v>681</v>
      </c>
      <c r="AJ114" s="206"/>
      <c r="AK114" s="206"/>
      <c r="AL114" s="206"/>
      <c r="AM114" s="596"/>
      <c r="AN114" s="596"/>
      <c r="AO114" s="596"/>
      <c r="AP114" s="596"/>
      <c r="AQ114" s="206"/>
      <c r="AR114" s="469"/>
      <c r="AS114" s="339" t="s">
        <v>266</v>
      </c>
      <c r="AT114" s="616"/>
      <c r="AU114" s="616"/>
      <c r="AV114" s="616"/>
      <c r="AW114" s="616"/>
      <c r="AX114" s="622"/>
      <c r="AY114" s="593"/>
      <c r="AZ114" s="622"/>
      <c r="BA114" s="593"/>
      <c r="BB114" s="596"/>
      <c r="BC114" s="608"/>
      <c r="BD114" s="596"/>
      <c r="BE114" s="608"/>
      <c r="BF114" s="339"/>
      <c r="BG114" s="339"/>
      <c r="BH114" s="339"/>
      <c r="BI114" s="339"/>
      <c r="BJ114" s="29" t="s">
        <v>922</v>
      </c>
      <c r="BK114" s="678"/>
    </row>
    <row r="115" spans="1:63" ht="25.8" customHeight="1">
      <c r="A115" s="29" t="s">
        <v>259</v>
      </c>
      <c r="B115" s="29" t="s">
        <v>201</v>
      </c>
      <c r="C115" s="334" t="s">
        <v>363</v>
      </c>
      <c r="D115" s="29" t="s">
        <v>219</v>
      </c>
      <c r="E115" s="368" t="s">
        <v>266</v>
      </c>
      <c r="F115" s="335">
        <v>2024130010129</v>
      </c>
      <c r="G115" s="29" t="s">
        <v>274</v>
      </c>
      <c r="H115" s="29" t="s">
        <v>287</v>
      </c>
      <c r="I115" s="29" t="s">
        <v>417</v>
      </c>
      <c r="J115" s="353">
        <v>34493</v>
      </c>
      <c r="K115" s="379">
        <v>0.55000000000000004</v>
      </c>
      <c r="L115" s="339" t="s">
        <v>311</v>
      </c>
      <c r="M115" s="339"/>
      <c r="N115" s="339" t="s">
        <v>810</v>
      </c>
      <c r="O115" s="339">
        <v>57272</v>
      </c>
      <c r="P115" s="340">
        <v>47300</v>
      </c>
      <c r="Q115" s="457">
        <v>4292</v>
      </c>
      <c r="R115" s="458">
        <f t="shared" si="12"/>
        <v>30201</v>
      </c>
      <c r="S115" s="396">
        <v>11688</v>
      </c>
      <c r="T115" s="435">
        <v>13464</v>
      </c>
      <c r="U115" s="337">
        <f t="shared" si="6"/>
        <v>59645</v>
      </c>
      <c r="V115" s="349">
        <v>1</v>
      </c>
      <c r="W115" s="341">
        <v>45660</v>
      </c>
      <c r="X115" s="341">
        <v>46022</v>
      </c>
      <c r="Y115" s="342">
        <f t="shared" si="7"/>
        <v>362</v>
      </c>
      <c r="Z115" s="353">
        <v>47300</v>
      </c>
      <c r="AA115" s="339" t="s">
        <v>352</v>
      </c>
      <c r="AB115" s="206" t="s">
        <v>368</v>
      </c>
      <c r="AC115" s="343" t="s">
        <v>437</v>
      </c>
      <c r="AD115" s="29" t="s">
        <v>436</v>
      </c>
      <c r="AE115" s="343" t="s">
        <v>351</v>
      </c>
      <c r="AF115" s="380" t="s">
        <v>699</v>
      </c>
      <c r="AG115" s="368">
        <v>84000004</v>
      </c>
      <c r="AH115" s="206"/>
      <c r="AI115" s="380" t="s">
        <v>681</v>
      </c>
      <c r="AJ115" s="206"/>
      <c r="AK115" s="206"/>
      <c r="AL115" s="206"/>
      <c r="AM115" s="596"/>
      <c r="AN115" s="596"/>
      <c r="AO115" s="596"/>
      <c r="AP115" s="596"/>
      <c r="AQ115" s="206"/>
      <c r="AR115" s="469"/>
      <c r="AS115" s="339" t="s">
        <v>266</v>
      </c>
      <c r="AT115" s="616"/>
      <c r="AU115" s="616"/>
      <c r="AV115" s="616"/>
      <c r="AW115" s="616"/>
      <c r="AX115" s="622"/>
      <c r="AY115" s="593"/>
      <c r="AZ115" s="622"/>
      <c r="BA115" s="593"/>
      <c r="BB115" s="596"/>
      <c r="BC115" s="608"/>
      <c r="BD115" s="596"/>
      <c r="BE115" s="608"/>
      <c r="BF115" s="339"/>
      <c r="BG115" s="339"/>
      <c r="BH115" s="339"/>
      <c r="BI115" s="339"/>
      <c r="BJ115" s="29" t="s">
        <v>922</v>
      </c>
      <c r="BK115" s="678"/>
    </row>
    <row r="116" spans="1:63" ht="25.8" customHeight="1">
      <c r="A116" s="29" t="s">
        <v>259</v>
      </c>
      <c r="B116" s="29" t="s">
        <v>201</v>
      </c>
      <c r="C116" s="334" t="s">
        <v>363</v>
      </c>
      <c r="D116" s="29" t="s">
        <v>219</v>
      </c>
      <c r="E116" s="368" t="s">
        <v>266</v>
      </c>
      <c r="F116" s="335">
        <v>2024130010129</v>
      </c>
      <c r="G116" s="29" t="s">
        <v>274</v>
      </c>
      <c r="H116" s="29" t="s">
        <v>287</v>
      </c>
      <c r="I116" s="29" t="s">
        <v>417</v>
      </c>
      <c r="J116" s="353">
        <v>34493</v>
      </c>
      <c r="K116" s="379">
        <v>0.55000000000000004</v>
      </c>
      <c r="L116" s="339" t="s">
        <v>311</v>
      </c>
      <c r="M116" s="339"/>
      <c r="N116" s="339" t="s">
        <v>811</v>
      </c>
      <c r="O116" s="339">
        <v>57272</v>
      </c>
      <c r="P116" s="340">
        <v>47300</v>
      </c>
      <c r="Q116" s="457">
        <v>4292</v>
      </c>
      <c r="R116" s="458">
        <f t="shared" si="12"/>
        <v>30201</v>
      </c>
      <c r="S116" s="396">
        <v>11688</v>
      </c>
      <c r="T116" s="435">
        <v>13464</v>
      </c>
      <c r="U116" s="337">
        <f t="shared" si="6"/>
        <v>59645</v>
      </c>
      <c r="V116" s="349">
        <v>1</v>
      </c>
      <c r="W116" s="341">
        <v>45660</v>
      </c>
      <c r="X116" s="341">
        <v>46022</v>
      </c>
      <c r="Y116" s="342">
        <f t="shared" si="7"/>
        <v>362</v>
      </c>
      <c r="Z116" s="353">
        <v>47300</v>
      </c>
      <c r="AA116" s="339" t="s">
        <v>352</v>
      </c>
      <c r="AB116" s="206" t="s">
        <v>368</v>
      </c>
      <c r="AC116" s="29" t="s">
        <v>439</v>
      </c>
      <c r="AD116" s="29" t="s">
        <v>438</v>
      </c>
      <c r="AE116" s="343" t="s">
        <v>351</v>
      </c>
      <c r="AF116" s="380" t="s">
        <v>697</v>
      </c>
      <c r="AG116" s="368">
        <v>102000000</v>
      </c>
      <c r="AH116" s="206"/>
      <c r="AI116" s="380" t="s">
        <v>681</v>
      </c>
      <c r="AJ116" s="206"/>
      <c r="AK116" s="206"/>
      <c r="AL116" s="345" t="s">
        <v>873</v>
      </c>
      <c r="AM116" s="596"/>
      <c r="AN116" s="596"/>
      <c r="AO116" s="596"/>
      <c r="AP116" s="596"/>
      <c r="AQ116" s="206"/>
      <c r="AR116" s="469"/>
      <c r="AS116" s="339" t="s">
        <v>266</v>
      </c>
      <c r="AT116" s="617"/>
      <c r="AU116" s="617"/>
      <c r="AV116" s="617"/>
      <c r="AW116" s="617"/>
      <c r="AX116" s="623"/>
      <c r="AY116" s="594"/>
      <c r="AZ116" s="623"/>
      <c r="BA116" s="594"/>
      <c r="BB116" s="596"/>
      <c r="BC116" s="609"/>
      <c r="BD116" s="596"/>
      <c r="BE116" s="609"/>
      <c r="BF116" s="339"/>
      <c r="BG116" s="339"/>
      <c r="BH116" s="339"/>
      <c r="BI116" s="339"/>
      <c r="BJ116" s="29" t="s">
        <v>922</v>
      </c>
      <c r="BK116" s="679"/>
    </row>
    <row r="117" spans="1:63" ht="25.8" customHeight="1">
      <c r="A117" s="29"/>
      <c r="B117" s="29"/>
      <c r="C117" s="334"/>
      <c r="D117" s="29"/>
      <c r="E117" s="663" t="s">
        <v>773</v>
      </c>
      <c r="F117" s="664"/>
      <c r="G117" s="664"/>
      <c r="H117" s="664"/>
      <c r="I117" s="664"/>
      <c r="J117" s="664"/>
      <c r="K117" s="664"/>
      <c r="L117" s="664"/>
      <c r="M117" s="664"/>
      <c r="N117" s="664"/>
      <c r="O117" s="664"/>
      <c r="P117" s="664"/>
      <c r="Q117" s="664"/>
      <c r="R117" s="665"/>
      <c r="S117" s="357"/>
      <c r="T117" s="357"/>
      <c r="U117" s="357"/>
      <c r="V117" s="289">
        <f>AVERAGE(V101:V116)</f>
        <v>0.94318181818181812</v>
      </c>
      <c r="W117" s="341"/>
      <c r="X117" s="341"/>
      <c r="Y117" s="342"/>
      <c r="Z117" s="353"/>
      <c r="AA117" s="339"/>
      <c r="AB117" s="206"/>
      <c r="AC117" s="29"/>
      <c r="AD117" s="29"/>
      <c r="AE117" s="343"/>
      <c r="AF117" s="380"/>
      <c r="AG117" s="368"/>
      <c r="AH117" s="206"/>
      <c r="AI117" s="380"/>
      <c r="AJ117" s="206"/>
      <c r="AK117" s="206"/>
      <c r="AL117" s="206"/>
      <c r="AM117" s="383">
        <f>SUM(AM101)</f>
        <v>2103471540</v>
      </c>
      <c r="AN117" s="383">
        <f>SUM(AN101)</f>
        <v>2572740622.8499999</v>
      </c>
      <c r="AO117" s="383">
        <f>SUM(AO101)</f>
        <v>2572740622.8499999</v>
      </c>
      <c r="AP117" s="383">
        <f>SUM(AP101)</f>
        <v>2572740622.8499999</v>
      </c>
      <c r="AQ117" s="383">
        <f>SUM(AQ101:AQ116)</f>
        <v>3820740622.8499999</v>
      </c>
      <c r="AR117" s="339"/>
      <c r="AS117" s="339"/>
      <c r="AT117" s="339">
        <f>SUM(AT101)</f>
        <v>0</v>
      </c>
      <c r="AU117" s="377">
        <f>+AU116</f>
        <v>0</v>
      </c>
      <c r="AV117" s="339">
        <f>SUM(AV101)</f>
        <v>0</v>
      </c>
      <c r="AW117" s="377">
        <f>+AW116</f>
        <v>0</v>
      </c>
      <c r="AX117" s="373">
        <f>SUM(AX101)</f>
        <v>940599388</v>
      </c>
      <c r="AY117" s="369">
        <f>+AY101</f>
        <v>0.36560210525926784</v>
      </c>
      <c r="AZ117" s="373">
        <f>SUM(AZ101)</f>
        <v>334751350</v>
      </c>
      <c r="BA117" s="369">
        <f>+BA101</f>
        <v>0.13011469054706851</v>
      </c>
      <c r="BB117" s="373">
        <f>SUM(BB101)</f>
        <v>1590758314.1500001</v>
      </c>
      <c r="BC117" s="369">
        <f>+BC101</f>
        <v>0.61831274401373926</v>
      </c>
      <c r="BD117" s="373">
        <f>SUM(BD101)</f>
        <v>1590758314.1500001</v>
      </c>
      <c r="BE117" s="369">
        <f>+BE101</f>
        <v>0.61831274401373926</v>
      </c>
      <c r="BF117" s="472">
        <f>SUM(BF101:BF116)</f>
        <v>3616086160.54</v>
      </c>
      <c r="BG117" s="434">
        <f>+BF117/AQ117</f>
        <v>0.94643591844836028</v>
      </c>
      <c r="BH117" s="472">
        <f>SUM(BH101:BH116)</f>
        <v>3616086160.54</v>
      </c>
      <c r="BI117" s="434">
        <f>+BH117/AQ117</f>
        <v>0.94643591844836028</v>
      </c>
      <c r="BJ117" s="367"/>
    </row>
    <row r="118" spans="1:63" ht="25.8" customHeight="1">
      <c r="A118" s="29" t="s">
        <v>259</v>
      </c>
      <c r="B118" s="29" t="s">
        <v>201</v>
      </c>
      <c r="C118" s="334" t="s">
        <v>363</v>
      </c>
      <c r="D118" s="29" t="s">
        <v>220</v>
      </c>
      <c r="E118" s="29" t="s">
        <v>267</v>
      </c>
      <c r="F118" s="384">
        <v>2024130010139</v>
      </c>
      <c r="G118" s="29" t="s">
        <v>275</v>
      </c>
      <c r="H118" s="29" t="s">
        <v>288</v>
      </c>
      <c r="I118" s="29" t="s">
        <v>249</v>
      </c>
      <c r="J118" s="353">
        <v>25929</v>
      </c>
      <c r="K118" s="379">
        <v>0.45</v>
      </c>
      <c r="L118" s="339" t="s">
        <v>319</v>
      </c>
      <c r="M118" s="206"/>
      <c r="N118" s="339" t="s">
        <v>812</v>
      </c>
      <c r="O118" s="339">
        <v>33718</v>
      </c>
      <c r="P118" s="340">
        <v>30744</v>
      </c>
      <c r="Q118" s="340">
        <v>10000</v>
      </c>
      <c r="R118" s="353">
        <v>15929</v>
      </c>
      <c r="S118" s="396">
        <v>12750</v>
      </c>
      <c r="T118" s="435">
        <v>16668</v>
      </c>
      <c r="U118" s="337">
        <f t="shared" si="6"/>
        <v>55347</v>
      </c>
      <c r="V118" s="349">
        <v>1</v>
      </c>
      <c r="W118" s="341">
        <v>45660</v>
      </c>
      <c r="X118" s="341">
        <v>46022</v>
      </c>
      <c r="Y118" s="342">
        <f t="shared" si="7"/>
        <v>362</v>
      </c>
      <c r="Z118" s="29">
        <v>30744</v>
      </c>
      <c r="AA118" s="339" t="s">
        <v>352</v>
      </c>
      <c r="AB118" s="206" t="s">
        <v>368</v>
      </c>
      <c r="AC118" s="350" t="s">
        <v>440</v>
      </c>
      <c r="AD118" s="339" t="s">
        <v>441</v>
      </c>
      <c r="AE118" s="343" t="s">
        <v>351</v>
      </c>
      <c r="AF118" s="380" t="s">
        <v>596</v>
      </c>
      <c r="AG118" s="368">
        <v>336672000</v>
      </c>
      <c r="AH118" s="339" t="s">
        <v>55</v>
      </c>
      <c r="AI118" s="206" t="s">
        <v>49</v>
      </c>
      <c r="AJ118" s="206"/>
      <c r="AK118" s="206"/>
      <c r="AL118" s="345" t="s">
        <v>882</v>
      </c>
      <c r="AM118" s="598">
        <v>3456124347</v>
      </c>
      <c r="AN118" s="598">
        <v>3656986372.5799999</v>
      </c>
      <c r="AO118" s="598">
        <v>3656986372.5799999</v>
      </c>
      <c r="AP118" s="598">
        <v>3752736372.5799999</v>
      </c>
      <c r="AQ118" s="433">
        <v>1859000000</v>
      </c>
      <c r="AR118" s="470" t="s">
        <v>1056</v>
      </c>
      <c r="AS118" s="339" t="s">
        <v>267</v>
      </c>
      <c r="AT118" s="630">
        <v>0</v>
      </c>
      <c r="AU118" s="633">
        <v>0</v>
      </c>
      <c r="AV118" s="630">
        <v>0</v>
      </c>
      <c r="AW118" s="636">
        <v>0</v>
      </c>
      <c r="AX118" s="667">
        <v>2070775153</v>
      </c>
      <c r="AY118" s="614">
        <f>+AX118/AO118</f>
        <v>0.56625181010424996</v>
      </c>
      <c r="AZ118" s="621">
        <v>423455000</v>
      </c>
      <c r="BA118" s="591">
        <f>+AZ118/AO118</f>
        <v>0.11579343121840865</v>
      </c>
      <c r="BB118" s="598">
        <v>3050149260.8400002</v>
      </c>
      <c r="BC118" s="591">
        <f>+BB118/AP118</f>
        <v>0.81278005114519347</v>
      </c>
      <c r="BD118" s="601">
        <v>3050149260.8400002</v>
      </c>
      <c r="BE118" s="591">
        <f>+BD118/AP118</f>
        <v>0.81278005114519347</v>
      </c>
      <c r="BF118" s="433">
        <v>1834278766.48</v>
      </c>
      <c r="BG118" s="339"/>
      <c r="BH118" s="433">
        <v>1824938100.48</v>
      </c>
      <c r="BI118" s="339"/>
      <c r="BJ118" s="385" t="s">
        <v>822</v>
      </c>
      <c r="BK118" s="680" t="s">
        <v>1044</v>
      </c>
    </row>
    <row r="119" spans="1:63" ht="25.8" customHeight="1">
      <c r="A119" s="29" t="s">
        <v>259</v>
      </c>
      <c r="B119" s="29" t="s">
        <v>201</v>
      </c>
      <c r="C119" s="334" t="s">
        <v>363</v>
      </c>
      <c r="D119" s="29" t="s">
        <v>220</v>
      </c>
      <c r="E119" s="29" t="s">
        <v>267</v>
      </c>
      <c r="F119" s="384">
        <v>2024130010139</v>
      </c>
      <c r="G119" s="29" t="s">
        <v>275</v>
      </c>
      <c r="H119" s="29" t="s">
        <v>288</v>
      </c>
      <c r="I119" s="29" t="s">
        <v>249</v>
      </c>
      <c r="J119" s="353">
        <v>25929</v>
      </c>
      <c r="K119" s="379">
        <v>0.45</v>
      </c>
      <c r="L119" s="339" t="s">
        <v>321</v>
      </c>
      <c r="M119" s="206"/>
      <c r="N119" s="339" t="s">
        <v>813</v>
      </c>
      <c r="O119" s="339">
        <v>33718</v>
      </c>
      <c r="P119" s="340">
        <v>30744</v>
      </c>
      <c r="Q119" s="340">
        <v>10000</v>
      </c>
      <c r="R119" s="353">
        <v>15929</v>
      </c>
      <c r="S119" s="396">
        <v>12750</v>
      </c>
      <c r="T119" s="435">
        <v>16668</v>
      </c>
      <c r="U119" s="337">
        <f t="shared" si="6"/>
        <v>55347</v>
      </c>
      <c r="V119" s="349">
        <v>1</v>
      </c>
      <c r="W119" s="341">
        <v>45660</v>
      </c>
      <c r="X119" s="341">
        <v>46022</v>
      </c>
      <c r="Y119" s="342">
        <f t="shared" si="7"/>
        <v>362</v>
      </c>
      <c r="Z119" s="29">
        <v>30744</v>
      </c>
      <c r="AA119" s="339" t="s">
        <v>352</v>
      </c>
      <c r="AB119" s="206" t="s">
        <v>368</v>
      </c>
      <c r="AC119" s="339" t="s">
        <v>442</v>
      </c>
      <c r="AD119" s="339" t="s">
        <v>443</v>
      </c>
      <c r="AE119" s="343" t="s">
        <v>351</v>
      </c>
      <c r="AF119" s="380" t="s">
        <v>700</v>
      </c>
      <c r="AG119" s="368">
        <v>134061978</v>
      </c>
      <c r="AH119" s="339" t="s">
        <v>50</v>
      </c>
      <c r="AI119" s="206" t="s">
        <v>49</v>
      </c>
      <c r="AJ119" s="206"/>
      <c r="AK119" s="206"/>
      <c r="AL119" s="206"/>
      <c r="AM119" s="599"/>
      <c r="AN119" s="599"/>
      <c r="AO119" s="599"/>
      <c r="AP119" s="599"/>
      <c r="AQ119" s="433">
        <v>800000000</v>
      </c>
      <c r="AR119" s="470" t="s">
        <v>1057</v>
      </c>
      <c r="AS119" s="339" t="s">
        <v>267</v>
      </c>
      <c r="AT119" s="631"/>
      <c r="AU119" s="634"/>
      <c r="AV119" s="631"/>
      <c r="AW119" s="636"/>
      <c r="AX119" s="668"/>
      <c r="AY119" s="614"/>
      <c r="AZ119" s="622"/>
      <c r="BA119" s="591"/>
      <c r="BB119" s="599"/>
      <c r="BC119" s="591"/>
      <c r="BD119" s="602"/>
      <c r="BE119" s="591"/>
      <c r="BF119" s="433">
        <v>76600000</v>
      </c>
      <c r="BG119" s="339"/>
      <c r="BH119" s="433">
        <v>74700000</v>
      </c>
      <c r="BI119" s="339"/>
      <c r="BJ119" s="385" t="s">
        <v>822</v>
      </c>
      <c r="BK119" s="681"/>
    </row>
    <row r="120" spans="1:63" ht="25.8" customHeight="1">
      <c r="A120" s="29" t="s">
        <v>259</v>
      </c>
      <c r="B120" s="29" t="s">
        <v>201</v>
      </c>
      <c r="C120" s="334" t="s">
        <v>363</v>
      </c>
      <c r="D120" s="29" t="s">
        <v>220</v>
      </c>
      <c r="E120" s="29" t="s">
        <v>267</v>
      </c>
      <c r="F120" s="384">
        <v>2024130010139</v>
      </c>
      <c r="G120" s="29" t="s">
        <v>275</v>
      </c>
      <c r="H120" s="29" t="s">
        <v>288</v>
      </c>
      <c r="I120" s="29" t="s">
        <v>249</v>
      </c>
      <c r="J120" s="353">
        <v>25929</v>
      </c>
      <c r="K120" s="379">
        <v>0.45</v>
      </c>
      <c r="L120" s="339" t="s">
        <v>321</v>
      </c>
      <c r="M120" s="206"/>
      <c r="N120" s="339" t="s">
        <v>813</v>
      </c>
      <c r="O120" s="339">
        <v>33718</v>
      </c>
      <c r="P120" s="340">
        <v>30744</v>
      </c>
      <c r="Q120" s="340">
        <v>10000</v>
      </c>
      <c r="R120" s="353">
        <v>15929</v>
      </c>
      <c r="S120" s="396">
        <v>12750</v>
      </c>
      <c r="T120" s="435">
        <v>16668</v>
      </c>
      <c r="U120" s="337">
        <f t="shared" si="6"/>
        <v>55347</v>
      </c>
      <c r="V120" s="349">
        <v>1</v>
      </c>
      <c r="W120" s="341">
        <v>45660</v>
      </c>
      <c r="X120" s="341">
        <v>46022</v>
      </c>
      <c r="Y120" s="342">
        <f t="shared" si="7"/>
        <v>362</v>
      </c>
      <c r="Z120" s="29">
        <v>30744</v>
      </c>
      <c r="AA120" s="339" t="s">
        <v>352</v>
      </c>
      <c r="AB120" s="206" t="s">
        <v>368</v>
      </c>
      <c r="AC120" s="339" t="s">
        <v>423</v>
      </c>
      <c r="AD120" s="339" t="s">
        <v>444</v>
      </c>
      <c r="AE120" s="343" t="s">
        <v>351</v>
      </c>
      <c r="AF120" s="380" t="s">
        <v>704</v>
      </c>
      <c r="AG120" s="368">
        <v>83999999.995999992</v>
      </c>
      <c r="AH120" s="339" t="s">
        <v>52</v>
      </c>
      <c r="AI120" s="206" t="s">
        <v>49</v>
      </c>
      <c r="AJ120" s="206"/>
      <c r="AK120" s="206"/>
      <c r="AL120" s="206"/>
      <c r="AM120" s="599"/>
      <c r="AN120" s="599"/>
      <c r="AO120" s="599"/>
      <c r="AP120" s="599"/>
      <c r="AQ120" s="433">
        <v>1038124347</v>
      </c>
      <c r="AR120" s="470" t="s">
        <v>1058</v>
      </c>
      <c r="AS120" s="339" t="s">
        <v>267</v>
      </c>
      <c r="AT120" s="631"/>
      <c r="AU120" s="634"/>
      <c r="AV120" s="631"/>
      <c r="AW120" s="636"/>
      <c r="AX120" s="668"/>
      <c r="AY120" s="614"/>
      <c r="AZ120" s="622"/>
      <c r="BA120" s="591"/>
      <c r="BB120" s="599"/>
      <c r="BC120" s="591"/>
      <c r="BD120" s="602"/>
      <c r="BE120" s="591"/>
      <c r="BF120" s="433">
        <v>1009405624</v>
      </c>
      <c r="BG120" s="339"/>
      <c r="BH120" s="433">
        <v>1009405624</v>
      </c>
      <c r="BI120" s="339"/>
      <c r="BJ120" s="385" t="s">
        <v>822</v>
      </c>
      <c r="BK120" s="681"/>
    </row>
    <row r="121" spans="1:63" ht="25.8" customHeight="1">
      <c r="A121" s="29" t="s">
        <v>259</v>
      </c>
      <c r="B121" s="29" t="s">
        <v>201</v>
      </c>
      <c r="C121" s="334" t="s">
        <v>363</v>
      </c>
      <c r="D121" s="29" t="s">
        <v>220</v>
      </c>
      <c r="E121" s="29" t="s">
        <v>267</v>
      </c>
      <c r="F121" s="384">
        <v>2024130010139</v>
      </c>
      <c r="G121" s="29" t="s">
        <v>275</v>
      </c>
      <c r="H121" s="29" t="s">
        <v>288</v>
      </c>
      <c r="I121" s="29" t="s">
        <v>249</v>
      </c>
      <c r="J121" s="353">
        <v>25929</v>
      </c>
      <c r="K121" s="379">
        <v>0.45</v>
      </c>
      <c r="L121" s="339" t="s">
        <v>321</v>
      </c>
      <c r="M121" s="206"/>
      <c r="N121" s="339" t="s">
        <v>813</v>
      </c>
      <c r="O121" s="339">
        <v>33718</v>
      </c>
      <c r="P121" s="340">
        <v>30744</v>
      </c>
      <c r="Q121" s="340">
        <v>10000</v>
      </c>
      <c r="R121" s="353">
        <v>15929</v>
      </c>
      <c r="S121" s="396">
        <v>12750</v>
      </c>
      <c r="T121" s="435">
        <v>16668</v>
      </c>
      <c r="U121" s="337">
        <f t="shared" si="6"/>
        <v>55347</v>
      </c>
      <c r="V121" s="349">
        <v>1</v>
      </c>
      <c r="W121" s="341">
        <v>45660</v>
      </c>
      <c r="X121" s="341">
        <v>46022</v>
      </c>
      <c r="Y121" s="342">
        <f t="shared" si="7"/>
        <v>362</v>
      </c>
      <c r="Z121" s="29">
        <v>30744</v>
      </c>
      <c r="AA121" s="339" t="s">
        <v>352</v>
      </c>
      <c r="AB121" s="206" t="s">
        <v>368</v>
      </c>
      <c r="AC121" s="339" t="s">
        <v>423</v>
      </c>
      <c r="AD121" s="339" t="s">
        <v>444</v>
      </c>
      <c r="AE121" s="343" t="s">
        <v>351</v>
      </c>
      <c r="AF121" s="380" t="s">
        <v>703</v>
      </c>
      <c r="AG121" s="368">
        <v>100000000</v>
      </c>
      <c r="AH121" s="339" t="s">
        <v>56</v>
      </c>
      <c r="AI121" s="206" t="s">
        <v>49</v>
      </c>
      <c r="AJ121" s="206"/>
      <c r="AK121" s="206"/>
      <c r="AL121" s="206"/>
      <c r="AM121" s="599"/>
      <c r="AN121" s="599"/>
      <c r="AO121" s="599"/>
      <c r="AP121" s="599"/>
      <c r="AQ121" s="433">
        <v>179374107.84</v>
      </c>
      <c r="AR121" s="470" t="s">
        <v>1059</v>
      </c>
      <c r="AS121" s="339" t="s">
        <v>267</v>
      </c>
      <c r="AT121" s="631"/>
      <c r="AU121" s="634"/>
      <c r="AV121" s="631"/>
      <c r="AW121" s="636"/>
      <c r="AX121" s="668"/>
      <c r="AY121" s="614"/>
      <c r="AZ121" s="622"/>
      <c r="BA121" s="591"/>
      <c r="BB121" s="599"/>
      <c r="BC121" s="591"/>
      <c r="BD121" s="602"/>
      <c r="BE121" s="591"/>
      <c r="BF121" s="433">
        <v>799673000</v>
      </c>
      <c r="BG121" s="339"/>
      <c r="BH121" s="433">
        <v>799673000</v>
      </c>
      <c r="BI121" s="339"/>
      <c r="BJ121" s="385" t="s">
        <v>822</v>
      </c>
      <c r="BK121" s="681"/>
    </row>
    <row r="122" spans="1:63" ht="25.8" customHeight="1">
      <c r="A122" s="29" t="s">
        <v>259</v>
      </c>
      <c r="B122" s="29" t="s">
        <v>201</v>
      </c>
      <c r="C122" s="334" t="s">
        <v>363</v>
      </c>
      <c r="D122" s="29" t="s">
        <v>220</v>
      </c>
      <c r="E122" s="29" t="s">
        <v>267</v>
      </c>
      <c r="F122" s="384">
        <v>2024130010139</v>
      </c>
      <c r="G122" s="29" t="s">
        <v>275</v>
      </c>
      <c r="H122" s="29" t="s">
        <v>288</v>
      </c>
      <c r="I122" s="29" t="s">
        <v>249</v>
      </c>
      <c r="J122" s="353">
        <v>25929</v>
      </c>
      <c r="K122" s="379">
        <v>0.45</v>
      </c>
      <c r="L122" s="339" t="s">
        <v>320</v>
      </c>
      <c r="M122" s="206"/>
      <c r="N122" s="339" t="s">
        <v>814</v>
      </c>
      <c r="O122" s="339">
        <v>33718</v>
      </c>
      <c r="P122" s="340">
        <v>30744</v>
      </c>
      <c r="Q122" s="340">
        <v>10000</v>
      </c>
      <c r="R122" s="353">
        <v>15929</v>
      </c>
      <c r="S122" s="396">
        <v>12750</v>
      </c>
      <c r="T122" s="435">
        <v>16668</v>
      </c>
      <c r="U122" s="337">
        <f t="shared" si="6"/>
        <v>55347</v>
      </c>
      <c r="V122" s="349">
        <v>1</v>
      </c>
      <c r="W122" s="341">
        <v>45660</v>
      </c>
      <c r="X122" s="341">
        <v>46022</v>
      </c>
      <c r="Y122" s="342">
        <f t="shared" si="7"/>
        <v>362</v>
      </c>
      <c r="Z122" s="29">
        <v>30744</v>
      </c>
      <c r="AA122" s="339" t="s">
        <v>352</v>
      </c>
      <c r="AB122" s="206" t="s">
        <v>368</v>
      </c>
      <c r="AC122" s="339" t="s">
        <v>423</v>
      </c>
      <c r="AD122" s="339" t="s">
        <v>444</v>
      </c>
      <c r="AE122" s="343" t="s">
        <v>351</v>
      </c>
      <c r="AF122" s="380" t="s">
        <v>596</v>
      </c>
      <c r="AG122" s="368">
        <v>1532412000</v>
      </c>
      <c r="AH122" s="339" t="s">
        <v>55</v>
      </c>
      <c r="AI122" s="380" t="s">
        <v>679</v>
      </c>
      <c r="AJ122" s="206"/>
      <c r="AK122" s="206"/>
      <c r="AL122" s="345" t="s">
        <v>883</v>
      </c>
      <c r="AM122" s="599"/>
      <c r="AN122" s="599"/>
      <c r="AO122" s="599"/>
      <c r="AP122" s="599"/>
      <c r="AQ122" s="433">
        <v>21487917.739999998</v>
      </c>
      <c r="AR122" s="470" t="s">
        <v>1060</v>
      </c>
      <c r="AS122" s="339" t="s">
        <v>267</v>
      </c>
      <c r="AT122" s="631"/>
      <c r="AU122" s="634"/>
      <c r="AV122" s="631"/>
      <c r="AW122" s="636"/>
      <c r="AX122" s="668"/>
      <c r="AY122" s="614"/>
      <c r="AZ122" s="622"/>
      <c r="BA122" s="591"/>
      <c r="BB122" s="599"/>
      <c r="BC122" s="591"/>
      <c r="BD122" s="602"/>
      <c r="BE122" s="591"/>
      <c r="BF122" s="433">
        <v>21254526</v>
      </c>
      <c r="BG122" s="339"/>
      <c r="BH122" s="433">
        <v>21254526</v>
      </c>
      <c r="BI122" s="339"/>
      <c r="BJ122" s="385" t="s">
        <v>822</v>
      </c>
      <c r="BK122" s="681"/>
    </row>
    <row r="123" spans="1:63" ht="25.8" customHeight="1">
      <c r="A123" s="29" t="s">
        <v>259</v>
      </c>
      <c r="B123" s="29" t="s">
        <v>201</v>
      </c>
      <c r="C123" s="334" t="s">
        <v>363</v>
      </c>
      <c r="D123" s="29" t="s">
        <v>220</v>
      </c>
      <c r="E123" s="29" t="s">
        <v>267</v>
      </c>
      <c r="F123" s="384">
        <v>2024130010139</v>
      </c>
      <c r="G123" s="29" t="s">
        <v>275</v>
      </c>
      <c r="H123" s="29" t="s">
        <v>288</v>
      </c>
      <c r="I123" s="29" t="s">
        <v>249</v>
      </c>
      <c r="J123" s="353">
        <v>25929</v>
      </c>
      <c r="K123" s="379">
        <v>0.45</v>
      </c>
      <c r="L123" s="339" t="s">
        <v>320</v>
      </c>
      <c r="M123" s="206"/>
      <c r="N123" s="339" t="s">
        <v>814</v>
      </c>
      <c r="O123" s="339">
        <v>33718</v>
      </c>
      <c r="P123" s="340">
        <v>30744</v>
      </c>
      <c r="Q123" s="340">
        <v>10000</v>
      </c>
      <c r="R123" s="353">
        <v>15929</v>
      </c>
      <c r="S123" s="396">
        <v>12750</v>
      </c>
      <c r="T123" s="435">
        <v>16668</v>
      </c>
      <c r="U123" s="337">
        <f t="shared" si="6"/>
        <v>55347</v>
      </c>
      <c r="V123" s="349">
        <v>1</v>
      </c>
      <c r="W123" s="341">
        <v>45660</v>
      </c>
      <c r="X123" s="341">
        <v>46022</v>
      </c>
      <c r="Y123" s="342">
        <f t="shared" si="7"/>
        <v>362</v>
      </c>
      <c r="Z123" s="29">
        <v>30744</v>
      </c>
      <c r="AA123" s="339" t="s">
        <v>352</v>
      </c>
      <c r="AB123" s="206" t="s">
        <v>368</v>
      </c>
      <c r="AC123" s="339" t="s">
        <v>445</v>
      </c>
      <c r="AD123" s="339" t="s">
        <v>446</v>
      </c>
      <c r="AE123" s="343" t="s">
        <v>351</v>
      </c>
      <c r="AF123" s="380" t="s">
        <v>703</v>
      </c>
      <c r="AG123" s="368">
        <v>100000000</v>
      </c>
      <c r="AH123" s="339" t="s">
        <v>56</v>
      </c>
      <c r="AI123" s="206" t="s">
        <v>49</v>
      </c>
      <c r="AJ123" s="206"/>
      <c r="AK123" s="206"/>
      <c r="AL123" s="206"/>
      <c r="AM123" s="599"/>
      <c r="AN123" s="599"/>
      <c r="AO123" s="599"/>
      <c r="AP123" s="599"/>
      <c r="AQ123" s="431">
        <v>95750000</v>
      </c>
      <c r="AR123" s="432" t="s">
        <v>1061</v>
      </c>
      <c r="AS123" s="339" t="s">
        <v>267</v>
      </c>
      <c r="AT123" s="631"/>
      <c r="AU123" s="634"/>
      <c r="AV123" s="631"/>
      <c r="AW123" s="636"/>
      <c r="AX123" s="668"/>
      <c r="AY123" s="614"/>
      <c r="AZ123" s="622"/>
      <c r="BA123" s="591"/>
      <c r="BB123" s="599"/>
      <c r="BC123" s="591"/>
      <c r="BD123" s="602"/>
      <c r="BE123" s="591"/>
      <c r="BF123" s="431">
        <v>178332000</v>
      </c>
      <c r="BG123" s="339"/>
      <c r="BH123" s="431">
        <v>178332000</v>
      </c>
      <c r="BI123" s="339"/>
      <c r="BJ123" s="385" t="s">
        <v>822</v>
      </c>
      <c r="BK123" s="681"/>
    </row>
    <row r="124" spans="1:63" ht="25.8" customHeight="1">
      <c r="A124" s="29" t="s">
        <v>259</v>
      </c>
      <c r="B124" s="29" t="s">
        <v>201</v>
      </c>
      <c r="C124" s="334" t="s">
        <v>363</v>
      </c>
      <c r="D124" s="29" t="s">
        <v>220</v>
      </c>
      <c r="E124" s="29" t="s">
        <v>267</v>
      </c>
      <c r="F124" s="384">
        <v>2024130010139</v>
      </c>
      <c r="G124" s="29" t="s">
        <v>275</v>
      </c>
      <c r="H124" s="29" t="s">
        <v>288</v>
      </c>
      <c r="I124" s="29" t="s">
        <v>249</v>
      </c>
      <c r="J124" s="353">
        <v>25929</v>
      </c>
      <c r="K124" s="379">
        <v>0.45</v>
      </c>
      <c r="L124" s="339" t="s">
        <v>317</v>
      </c>
      <c r="M124" s="206"/>
      <c r="N124" s="339" t="s">
        <v>814</v>
      </c>
      <c r="O124" s="339">
        <v>33718</v>
      </c>
      <c r="P124" s="340">
        <v>30744</v>
      </c>
      <c r="Q124" s="340">
        <v>10000</v>
      </c>
      <c r="R124" s="353">
        <v>15929</v>
      </c>
      <c r="S124" s="396">
        <v>12750</v>
      </c>
      <c r="T124" s="435">
        <v>16668</v>
      </c>
      <c r="U124" s="337">
        <f t="shared" si="6"/>
        <v>55347</v>
      </c>
      <c r="V124" s="349">
        <v>1</v>
      </c>
      <c r="W124" s="341">
        <v>45660</v>
      </c>
      <c r="X124" s="341">
        <v>46022</v>
      </c>
      <c r="Y124" s="342">
        <f t="shared" si="7"/>
        <v>362</v>
      </c>
      <c r="Z124" s="29">
        <v>30744</v>
      </c>
      <c r="AA124" s="339" t="s">
        <v>352</v>
      </c>
      <c r="AB124" s="206" t="s">
        <v>368</v>
      </c>
      <c r="AC124" s="339" t="s">
        <v>445</v>
      </c>
      <c r="AD124" s="339" t="s">
        <v>446</v>
      </c>
      <c r="AE124" s="343" t="s">
        <v>351</v>
      </c>
      <c r="AF124" s="380" t="s">
        <v>596</v>
      </c>
      <c r="AG124" s="368">
        <v>475398000</v>
      </c>
      <c r="AH124" s="339" t="s">
        <v>55</v>
      </c>
      <c r="AI124" s="206" t="s">
        <v>49</v>
      </c>
      <c r="AJ124" s="206"/>
      <c r="AK124" s="206"/>
      <c r="AL124" s="345" t="s">
        <v>884</v>
      </c>
      <c r="AM124" s="599"/>
      <c r="AN124" s="599"/>
      <c r="AO124" s="599"/>
      <c r="AP124" s="599"/>
      <c r="AQ124" s="206"/>
      <c r="AR124" s="469"/>
      <c r="AS124" s="339" t="s">
        <v>267</v>
      </c>
      <c r="AT124" s="631"/>
      <c r="AU124" s="634"/>
      <c r="AV124" s="631"/>
      <c r="AW124" s="636"/>
      <c r="AX124" s="668"/>
      <c r="AY124" s="614"/>
      <c r="AZ124" s="622"/>
      <c r="BA124" s="591"/>
      <c r="BB124" s="599"/>
      <c r="BC124" s="591"/>
      <c r="BD124" s="602"/>
      <c r="BE124" s="591"/>
      <c r="BF124" s="339"/>
      <c r="BG124" s="339"/>
      <c r="BH124" s="339"/>
      <c r="BI124" s="339"/>
      <c r="BJ124" s="385" t="s">
        <v>822</v>
      </c>
      <c r="BK124" s="681"/>
    </row>
    <row r="125" spans="1:63" ht="25.8" customHeight="1">
      <c r="A125" s="29" t="s">
        <v>259</v>
      </c>
      <c r="B125" s="29" t="s">
        <v>201</v>
      </c>
      <c r="C125" s="334" t="s">
        <v>363</v>
      </c>
      <c r="D125" s="29" t="s">
        <v>220</v>
      </c>
      <c r="E125" s="29" t="s">
        <v>267</v>
      </c>
      <c r="F125" s="384">
        <v>2024130010139</v>
      </c>
      <c r="G125" s="29" t="s">
        <v>275</v>
      </c>
      <c r="H125" s="29" t="s">
        <v>288</v>
      </c>
      <c r="I125" s="29" t="s">
        <v>249</v>
      </c>
      <c r="J125" s="353">
        <v>25929</v>
      </c>
      <c r="K125" s="379">
        <v>0.45</v>
      </c>
      <c r="L125" s="339" t="s">
        <v>318</v>
      </c>
      <c r="M125" s="206"/>
      <c r="N125" s="339" t="s">
        <v>814</v>
      </c>
      <c r="O125" s="339">
        <v>33718</v>
      </c>
      <c r="P125" s="340">
        <v>30744</v>
      </c>
      <c r="Q125" s="340">
        <v>10000</v>
      </c>
      <c r="R125" s="353">
        <v>15929</v>
      </c>
      <c r="S125" s="396">
        <v>12750</v>
      </c>
      <c r="T125" s="435">
        <v>16668</v>
      </c>
      <c r="U125" s="337">
        <f t="shared" si="6"/>
        <v>55347</v>
      </c>
      <c r="V125" s="349">
        <v>1</v>
      </c>
      <c r="W125" s="341">
        <v>45660</v>
      </c>
      <c r="X125" s="341">
        <v>46022</v>
      </c>
      <c r="Y125" s="342">
        <f t="shared" si="7"/>
        <v>362</v>
      </c>
      <c r="Z125" s="29">
        <v>30744</v>
      </c>
      <c r="AA125" s="339" t="s">
        <v>352</v>
      </c>
      <c r="AB125" s="206" t="s">
        <v>368</v>
      </c>
      <c r="AC125" s="339" t="s">
        <v>445</v>
      </c>
      <c r="AD125" s="339" t="s">
        <v>446</v>
      </c>
      <c r="AE125" s="343" t="s">
        <v>351</v>
      </c>
      <c r="AF125" s="380" t="s">
        <v>596</v>
      </c>
      <c r="AG125" s="368">
        <v>104328000</v>
      </c>
      <c r="AH125" s="339" t="s">
        <v>55</v>
      </c>
      <c r="AI125" s="206" t="s">
        <v>49</v>
      </c>
      <c r="AJ125" s="206"/>
      <c r="AK125" s="206"/>
      <c r="AL125" s="345" t="s">
        <v>885</v>
      </c>
      <c r="AM125" s="599"/>
      <c r="AN125" s="599"/>
      <c r="AO125" s="599"/>
      <c r="AP125" s="599"/>
      <c r="AQ125" s="206"/>
      <c r="AR125" s="469"/>
      <c r="AS125" s="339" t="s">
        <v>267</v>
      </c>
      <c r="AT125" s="631"/>
      <c r="AU125" s="634"/>
      <c r="AV125" s="631"/>
      <c r="AW125" s="636"/>
      <c r="AX125" s="668"/>
      <c r="AY125" s="614"/>
      <c r="AZ125" s="622"/>
      <c r="BA125" s="591"/>
      <c r="BB125" s="599"/>
      <c r="BC125" s="591"/>
      <c r="BD125" s="602"/>
      <c r="BE125" s="591"/>
      <c r="BF125" s="339"/>
      <c r="BG125" s="339"/>
      <c r="BH125" s="339"/>
      <c r="BI125" s="339"/>
      <c r="BJ125" s="385" t="s">
        <v>822</v>
      </c>
      <c r="BK125" s="681"/>
    </row>
    <row r="126" spans="1:63" ht="25.8" customHeight="1">
      <c r="A126" s="29" t="s">
        <v>259</v>
      </c>
      <c r="B126" s="29" t="s">
        <v>201</v>
      </c>
      <c r="C126" s="334" t="s">
        <v>363</v>
      </c>
      <c r="D126" s="29" t="s">
        <v>220</v>
      </c>
      <c r="E126" s="29" t="s">
        <v>267</v>
      </c>
      <c r="F126" s="384">
        <v>2024130010139</v>
      </c>
      <c r="G126" s="29" t="s">
        <v>275</v>
      </c>
      <c r="H126" s="29" t="s">
        <v>418</v>
      </c>
      <c r="I126" s="29" t="s">
        <v>249</v>
      </c>
      <c r="J126" s="353">
        <v>25929</v>
      </c>
      <c r="K126" s="379">
        <v>0.45</v>
      </c>
      <c r="L126" s="339" t="s">
        <v>315</v>
      </c>
      <c r="M126" s="206"/>
      <c r="N126" s="339" t="s">
        <v>815</v>
      </c>
      <c r="O126" s="339">
        <v>33718</v>
      </c>
      <c r="P126" s="340">
        <v>30744</v>
      </c>
      <c r="Q126" s="340">
        <v>10000</v>
      </c>
      <c r="R126" s="353">
        <v>15929</v>
      </c>
      <c r="S126" s="396">
        <v>12750</v>
      </c>
      <c r="T126" s="435">
        <v>16668</v>
      </c>
      <c r="U126" s="337">
        <f t="shared" si="6"/>
        <v>55347</v>
      </c>
      <c r="V126" s="349">
        <v>1</v>
      </c>
      <c r="W126" s="341">
        <v>45660</v>
      </c>
      <c r="X126" s="341">
        <v>46022</v>
      </c>
      <c r="Y126" s="342">
        <f t="shared" si="7"/>
        <v>362</v>
      </c>
      <c r="Z126" s="29">
        <v>30744</v>
      </c>
      <c r="AA126" s="339" t="s">
        <v>352</v>
      </c>
      <c r="AB126" s="206" t="s">
        <v>368</v>
      </c>
      <c r="AC126" s="339" t="s">
        <v>447</v>
      </c>
      <c r="AD126" s="339" t="s">
        <v>438</v>
      </c>
      <c r="AE126" s="343" t="s">
        <v>351</v>
      </c>
      <c r="AF126" s="380" t="s">
        <v>700</v>
      </c>
      <c r="AG126" s="368">
        <v>134061978</v>
      </c>
      <c r="AH126" s="339" t="s">
        <v>50</v>
      </c>
      <c r="AI126" s="206" t="s">
        <v>49</v>
      </c>
      <c r="AJ126" s="206"/>
      <c r="AK126" s="206"/>
      <c r="AL126" s="345" t="s">
        <v>886</v>
      </c>
      <c r="AM126" s="599"/>
      <c r="AN126" s="599"/>
      <c r="AO126" s="599"/>
      <c r="AP126" s="599"/>
      <c r="AQ126" s="206"/>
      <c r="AR126" s="469"/>
      <c r="AS126" s="339" t="s">
        <v>267</v>
      </c>
      <c r="AT126" s="631"/>
      <c r="AU126" s="634"/>
      <c r="AV126" s="631"/>
      <c r="AW126" s="636"/>
      <c r="AX126" s="668"/>
      <c r="AY126" s="614"/>
      <c r="AZ126" s="622"/>
      <c r="BA126" s="591"/>
      <c r="BB126" s="599"/>
      <c r="BC126" s="591"/>
      <c r="BD126" s="602"/>
      <c r="BE126" s="591"/>
      <c r="BF126" s="339"/>
      <c r="BG126" s="339"/>
      <c r="BH126" s="339"/>
      <c r="BI126" s="339"/>
      <c r="BJ126" s="385" t="s">
        <v>822</v>
      </c>
      <c r="BK126" s="681"/>
    </row>
    <row r="127" spans="1:63" ht="25.8" customHeight="1">
      <c r="A127" s="29" t="s">
        <v>259</v>
      </c>
      <c r="B127" s="29" t="s">
        <v>201</v>
      </c>
      <c r="C127" s="334" t="s">
        <v>363</v>
      </c>
      <c r="D127" s="29" t="s">
        <v>220</v>
      </c>
      <c r="E127" s="29" t="s">
        <v>267</v>
      </c>
      <c r="F127" s="384">
        <v>2024130010139</v>
      </c>
      <c r="G127" s="29" t="s">
        <v>275</v>
      </c>
      <c r="H127" s="29" t="s">
        <v>418</v>
      </c>
      <c r="I127" s="29" t="s">
        <v>249</v>
      </c>
      <c r="J127" s="353">
        <v>25929</v>
      </c>
      <c r="K127" s="379">
        <v>0.45</v>
      </c>
      <c r="L127" s="339" t="s">
        <v>315</v>
      </c>
      <c r="M127" s="206"/>
      <c r="N127" s="339" t="s">
        <v>815</v>
      </c>
      <c r="O127" s="339">
        <v>33718</v>
      </c>
      <c r="P127" s="340">
        <v>30744</v>
      </c>
      <c r="Q127" s="340">
        <v>10000</v>
      </c>
      <c r="R127" s="353">
        <v>15929</v>
      </c>
      <c r="S127" s="396">
        <v>12750</v>
      </c>
      <c r="T127" s="435">
        <v>16668</v>
      </c>
      <c r="U127" s="337">
        <f t="shared" si="6"/>
        <v>55347</v>
      </c>
      <c r="V127" s="349">
        <v>1</v>
      </c>
      <c r="W127" s="341">
        <v>45660</v>
      </c>
      <c r="X127" s="341">
        <v>46022</v>
      </c>
      <c r="Y127" s="342">
        <f t="shared" si="7"/>
        <v>362</v>
      </c>
      <c r="Z127" s="29">
        <v>30744</v>
      </c>
      <c r="AA127" s="339" t="s">
        <v>352</v>
      </c>
      <c r="AB127" s="206" t="s">
        <v>368</v>
      </c>
      <c r="AC127" s="339" t="s">
        <v>447</v>
      </c>
      <c r="AD127" s="339" t="s">
        <v>438</v>
      </c>
      <c r="AE127" s="343" t="s">
        <v>351</v>
      </c>
      <c r="AF127" s="380" t="s">
        <v>701</v>
      </c>
      <c r="AG127" s="368">
        <v>100000000</v>
      </c>
      <c r="AH127" s="339" t="s">
        <v>53</v>
      </c>
      <c r="AI127" s="206" t="s">
        <v>49</v>
      </c>
      <c r="AJ127" s="206"/>
      <c r="AK127" s="206"/>
      <c r="AL127" s="206"/>
      <c r="AM127" s="599"/>
      <c r="AN127" s="599"/>
      <c r="AO127" s="599"/>
      <c r="AP127" s="599"/>
      <c r="AQ127" s="206"/>
      <c r="AR127" s="469"/>
      <c r="AS127" s="339" t="s">
        <v>267</v>
      </c>
      <c r="AT127" s="631"/>
      <c r="AU127" s="634"/>
      <c r="AV127" s="631"/>
      <c r="AW127" s="636"/>
      <c r="AX127" s="668"/>
      <c r="AY127" s="614"/>
      <c r="AZ127" s="622"/>
      <c r="BA127" s="591"/>
      <c r="BB127" s="599"/>
      <c r="BC127" s="591"/>
      <c r="BD127" s="602"/>
      <c r="BE127" s="591"/>
      <c r="BF127" s="339"/>
      <c r="BG127" s="339"/>
      <c r="BH127" s="339"/>
      <c r="BI127" s="339"/>
      <c r="BJ127" s="385" t="s">
        <v>822</v>
      </c>
      <c r="BK127" s="681"/>
    </row>
    <row r="128" spans="1:63" ht="25.8" customHeight="1">
      <c r="A128" s="29" t="s">
        <v>259</v>
      </c>
      <c r="B128" s="29" t="s">
        <v>201</v>
      </c>
      <c r="C128" s="334" t="s">
        <v>363</v>
      </c>
      <c r="D128" s="29" t="s">
        <v>220</v>
      </c>
      <c r="E128" s="29" t="s">
        <v>267</v>
      </c>
      <c r="F128" s="384">
        <v>2024130010139</v>
      </c>
      <c r="G128" s="29" t="s">
        <v>275</v>
      </c>
      <c r="H128" s="29" t="s">
        <v>418</v>
      </c>
      <c r="I128" s="29" t="s">
        <v>249</v>
      </c>
      <c r="J128" s="353">
        <v>25929</v>
      </c>
      <c r="K128" s="379">
        <v>0.45</v>
      </c>
      <c r="L128" s="339" t="s">
        <v>315</v>
      </c>
      <c r="M128" s="206"/>
      <c r="N128" s="339" t="s">
        <v>815</v>
      </c>
      <c r="O128" s="339">
        <v>33718</v>
      </c>
      <c r="P128" s="340">
        <v>30744</v>
      </c>
      <c r="Q128" s="340">
        <v>10000</v>
      </c>
      <c r="R128" s="353">
        <v>15929</v>
      </c>
      <c r="S128" s="396">
        <v>12750</v>
      </c>
      <c r="T128" s="435">
        <v>16668</v>
      </c>
      <c r="U128" s="337">
        <f t="shared" si="6"/>
        <v>55347</v>
      </c>
      <c r="V128" s="349">
        <v>1</v>
      </c>
      <c r="W128" s="341">
        <v>45660</v>
      </c>
      <c r="X128" s="341">
        <v>46022</v>
      </c>
      <c r="Y128" s="342">
        <f t="shared" si="7"/>
        <v>362</v>
      </c>
      <c r="Z128" s="29">
        <v>30744</v>
      </c>
      <c r="AA128" s="339" t="s">
        <v>352</v>
      </c>
      <c r="AB128" s="206" t="s">
        <v>368</v>
      </c>
      <c r="AC128" s="339" t="s">
        <v>447</v>
      </c>
      <c r="AD128" s="339" t="s">
        <v>438</v>
      </c>
      <c r="AE128" s="343" t="s">
        <v>351</v>
      </c>
      <c r="AF128" s="380" t="s">
        <v>702</v>
      </c>
      <c r="AG128" s="368">
        <v>20000000</v>
      </c>
      <c r="AH128" s="339" t="s">
        <v>53</v>
      </c>
      <c r="AI128" s="206" t="s">
        <v>49</v>
      </c>
      <c r="AJ128" s="206"/>
      <c r="AK128" s="206"/>
      <c r="AL128" s="206"/>
      <c r="AM128" s="599"/>
      <c r="AN128" s="599"/>
      <c r="AO128" s="599"/>
      <c r="AP128" s="599"/>
      <c r="AQ128" s="206"/>
      <c r="AR128" s="469"/>
      <c r="AS128" s="339" t="s">
        <v>267</v>
      </c>
      <c r="AT128" s="631"/>
      <c r="AU128" s="634"/>
      <c r="AV128" s="631"/>
      <c r="AW128" s="636"/>
      <c r="AX128" s="668"/>
      <c r="AY128" s="614"/>
      <c r="AZ128" s="622"/>
      <c r="BA128" s="591"/>
      <c r="BB128" s="599"/>
      <c r="BC128" s="591"/>
      <c r="BD128" s="602"/>
      <c r="BE128" s="591"/>
      <c r="BF128" s="339"/>
      <c r="BG128" s="339"/>
      <c r="BH128" s="339"/>
      <c r="BI128" s="339"/>
      <c r="BJ128" s="385" t="s">
        <v>822</v>
      </c>
      <c r="BK128" s="681"/>
    </row>
    <row r="129" spans="1:63" ht="25.8" customHeight="1">
      <c r="A129" s="29" t="s">
        <v>259</v>
      </c>
      <c r="B129" s="29" t="s">
        <v>201</v>
      </c>
      <c r="C129" s="334" t="s">
        <v>363</v>
      </c>
      <c r="D129" s="29" t="s">
        <v>220</v>
      </c>
      <c r="E129" s="29" t="s">
        <v>267</v>
      </c>
      <c r="F129" s="384">
        <v>2024130010139</v>
      </c>
      <c r="G129" s="29" t="s">
        <v>275</v>
      </c>
      <c r="H129" s="29" t="s">
        <v>418</v>
      </c>
      <c r="I129" s="29" t="s">
        <v>249</v>
      </c>
      <c r="J129" s="353">
        <v>25929</v>
      </c>
      <c r="K129" s="379">
        <v>0.45</v>
      </c>
      <c r="L129" s="339" t="s">
        <v>315</v>
      </c>
      <c r="M129" s="206"/>
      <c r="N129" s="339" t="s">
        <v>815</v>
      </c>
      <c r="O129" s="339">
        <v>33718</v>
      </c>
      <c r="P129" s="340">
        <v>30744</v>
      </c>
      <c r="Q129" s="340">
        <v>10000</v>
      </c>
      <c r="R129" s="353">
        <v>15929</v>
      </c>
      <c r="S129" s="396">
        <v>12750</v>
      </c>
      <c r="T129" s="435">
        <v>16668</v>
      </c>
      <c r="U129" s="337">
        <f t="shared" si="6"/>
        <v>55347</v>
      </c>
      <c r="V129" s="349">
        <v>1</v>
      </c>
      <c r="W129" s="341">
        <v>45660</v>
      </c>
      <c r="X129" s="341">
        <v>46022</v>
      </c>
      <c r="Y129" s="342">
        <f t="shared" si="7"/>
        <v>362</v>
      </c>
      <c r="Z129" s="29">
        <v>30744</v>
      </c>
      <c r="AA129" s="339" t="s">
        <v>352</v>
      </c>
      <c r="AB129" s="206" t="s">
        <v>368</v>
      </c>
      <c r="AC129" s="339" t="s">
        <v>447</v>
      </c>
      <c r="AD129" s="339" t="s">
        <v>438</v>
      </c>
      <c r="AE129" s="343" t="s">
        <v>351</v>
      </c>
      <c r="AF129" s="380" t="s">
        <v>703</v>
      </c>
      <c r="AG129" s="368">
        <v>126578391.00399999</v>
      </c>
      <c r="AH129" s="339" t="s">
        <v>54</v>
      </c>
      <c r="AI129" s="206" t="s">
        <v>49</v>
      </c>
      <c r="AJ129" s="206"/>
      <c r="AK129" s="206"/>
      <c r="AL129" s="206"/>
      <c r="AM129" s="599"/>
      <c r="AN129" s="599"/>
      <c r="AO129" s="599"/>
      <c r="AP129" s="599"/>
      <c r="AQ129" s="206"/>
      <c r="AR129" s="469"/>
      <c r="AS129" s="339" t="s">
        <v>267</v>
      </c>
      <c r="AT129" s="631"/>
      <c r="AU129" s="634"/>
      <c r="AV129" s="631"/>
      <c r="AW129" s="636"/>
      <c r="AX129" s="668"/>
      <c r="AY129" s="614"/>
      <c r="AZ129" s="622"/>
      <c r="BA129" s="591"/>
      <c r="BB129" s="599"/>
      <c r="BC129" s="591"/>
      <c r="BD129" s="602"/>
      <c r="BE129" s="591"/>
      <c r="BF129" s="339"/>
      <c r="BG129" s="339"/>
      <c r="BH129" s="339"/>
      <c r="BI129" s="339"/>
      <c r="BJ129" s="385" t="s">
        <v>822</v>
      </c>
      <c r="BK129" s="681"/>
    </row>
    <row r="130" spans="1:63" ht="25.8" customHeight="1">
      <c r="A130" s="29" t="s">
        <v>259</v>
      </c>
      <c r="B130" s="29" t="s">
        <v>201</v>
      </c>
      <c r="C130" s="334" t="s">
        <v>363</v>
      </c>
      <c r="D130" s="29" t="s">
        <v>220</v>
      </c>
      <c r="E130" s="29" t="s">
        <v>267</v>
      </c>
      <c r="F130" s="384">
        <v>2024130010139</v>
      </c>
      <c r="G130" s="29" t="s">
        <v>275</v>
      </c>
      <c r="H130" s="29" t="s">
        <v>418</v>
      </c>
      <c r="I130" s="29" t="s">
        <v>249</v>
      </c>
      <c r="J130" s="353">
        <v>25929</v>
      </c>
      <c r="K130" s="379">
        <v>0.45</v>
      </c>
      <c r="L130" s="339" t="s">
        <v>316</v>
      </c>
      <c r="M130" s="206"/>
      <c r="N130" s="339" t="s">
        <v>663</v>
      </c>
      <c r="O130" s="339">
        <v>2</v>
      </c>
      <c r="P130" s="340">
        <v>10</v>
      </c>
      <c r="Q130" s="340">
        <v>2</v>
      </c>
      <c r="R130" s="353">
        <v>3</v>
      </c>
      <c r="S130" s="353">
        <v>0</v>
      </c>
      <c r="T130" s="435">
        <v>5</v>
      </c>
      <c r="U130" s="337">
        <f t="shared" si="6"/>
        <v>10</v>
      </c>
      <c r="V130" s="349">
        <f t="shared" si="11"/>
        <v>1</v>
      </c>
      <c r="W130" s="341">
        <v>45660</v>
      </c>
      <c r="X130" s="341">
        <v>46022</v>
      </c>
      <c r="Y130" s="342">
        <f t="shared" si="7"/>
        <v>362</v>
      </c>
      <c r="Z130" s="29">
        <v>30744</v>
      </c>
      <c r="AA130" s="339" t="s">
        <v>352</v>
      </c>
      <c r="AB130" s="206" t="s">
        <v>368</v>
      </c>
      <c r="AC130" s="339" t="s">
        <v>447</v>
      </c>
      <c r="AD130" s="339" t="s">
        <v>438</v>
      </c>
      <c r="AE130" s="343" t="s">
        <v>351</v>
      </c>
      <c r="AF130" s="380" t="s">
        <v>596</v>
      </c>
      <c r="AG130" s="368">
        <v>108612000</v>
      </c>
      <c r="AH130" s="339" t="s">
        <v>55</v>
      </c>
      <c r="AI130" s="206" t="s">
        <v>49</v>
      </c>
      <c r="AJ130" s="206"/>
      <c r="AK130" s="206"/>
      <c r="AL130" s="345" t="s">
        <v>887</v>
      </c>
      <c r="AM130" s="599"/>
      <c r="AN130" s="599"/>
      <c r="AO130" s="599"/>
      <c r="AP130" s="599"/>
      <c r="AQ130" s="206"/>
      <c r="AR130" s="469"/>
      <c r="AS130" s="339" t="s">
        <v>267</v>
      </c>
      <c r="AT130" s="631"/>
      <c r="AU130" s="634"/>
      <c r="AV130" s="631"/>
      <c r="AW130" s="636"/>
      <c r="AX130" s="668"/>
      <c r="AY130" s="614"/>
      <c r="AZ130" s="622"/>
      <c r="BA130" s="591"/>
      <c r="BB130" s="599"/>
      <c r="BC130" s="591"/>
      <c r="BD130" s="602"/>
      <c r="BE130" s="591"/>
      <c r="BF130" s="339"/>
      <c r="BG130" s="339"/>
      <c r="BH130" s="339"/>
      <c r="BI130" s="339"/>
      <c r="BJ130" s="385" t="s">
        <v>822</v>
      </c>
      <c r="BK130" s="681"/>
    </row>
    <row r="131" spans="1:63" ht="25.8" customHeight="1">
      <c r="A131" s="29" t="s">
        <v>259</v>
      </c>
      <c r="B131" s="29" t="s">
        <v>201</v>
      </c>
      <c r="C131" s="334" t="s">
        <v>363</v>
      </c>
      <c r="D131" s="29" t="s">
        <v>220</v>
      </c>
      <c r="E131" s="29" t="s">
        <v>267</v>
      </c>
      <c r="F131" s="384">
        <v>2024130010139</v>
      </c>
      <c r="G131" s="29" t="s">
        <v>275</v>
      </c>
      <c r="H131" s="29" t="s">
        <v>418</v>
      </c>
      <c r="I131" s="29" t="s">
        <v>249</v>
      </c>
      <c r="J131" s="353">
        <v>25929</v>
      </c>
      <c r="K131" s="379">
        <v>0.45</v>
      </c>
      <c r="L131" s="339" t="s">
        <v>316</v>
      </c>
      <c r="M131" s="206"/>
      <c r="N131" s="339" t="s">
        <v>663</v>
      </c>
      <c r="O131" s="339">
        <v>2</v>
      </c>
      <c r="P131" s="340">
        <v>10</v>
      </c>
      <c r="Q131" s="340">
        <v>2</v>
      </c>
      <c r="R131" s="353">
        <v>3</v>
      </c>
      <c r="S131" s="353">
        <v>0</v>
      </c>
      <c r="T131" s="435">
        <v>5</v>
      </c>
      <c r="U131" s="337">
        <f t="shared" si="6"/>
        <v>10</v>
      </c>
      <c r="V131" s="349">
        <f t="shared" si="11"/>
        <v>1</v>
      </c>
      <c r="W131" s="341">
        <v>45660</v>
      </c>
      <c r="X131" s="341">
        <v>46022</v>
      </c>
      <c r="Y131" s="342">
        <f t="shared" si="7"/>
        <v>362</v>
      </c>
      <c r="Z131" s="29">
        <v>30744</v>
      </c>
      <c r="AA131" s="339" t="s">
        <v>352</v>
      </c>
      <c r="AB131" s="206" t="s">
        <v>368</v>
      </c>
      <c r="AC131" s="339" t="s">
        <v>447</v>
      </c>
      <c r="AD131" s="339" t="s">
        <v>438</v>
      </c>
      <c r="AE131" s="343" t="s">
        <v>351</v>
      </c>
      <c r="AF131" s="380" t="s">
        <v>666</v>
      </c>
      <c r="AG131" s="368">
        <v>100000000</v>
      </c>
      <c r="AH131" s="339" t="s">
        <v>52</v>
      </c>
      <c r="AI131" s="206" t="s">
        <v>49</v>
      </c>
      <c r="AJ131" s="206"/>
      <c r="AK131" s="206"/>
      <c r="AL131" s="206"/>
      <c r="AM131" s="600"/>
      <c r="AN131" s="600"/>
      <c r="AO131" s="600"/>
      <c r="AP131" s="600"/>
      <c r="AQ131" s="206"/>
      <c r="AR131" s="469"/>
      <c r="AS131" s="339" t="s">
        <v>267</v>
      </c>
      <c r="AT131" s="632"/>
      <c r="AU131" s="635"/>
      <c r="AV131" s="632"/>
      <c r="AW131" s="636"/>
      <c r="AX131" s="669"/>
      <c r="AY131" s="614"/>
      <c r="AZ131" s="623"/>
      <c r="BA131" s="591"/>
      <c r="BB131" s="600"/>
      <c r="BC131" s="591"/>
      <c r="BD131" s="603"/>
      <c r="BE131" s="591"/>
      <c r="BF131" s="339"/>
      <c r="BG131" s="339"/>
      <c r="BH131" s="339"/>
      <c r="BI131" s="339"/>
      <c r="BJ131" s="385" t="s">
        <v>822</v>
      </c>
      <c r="BK131" s="682"/>
    </row>
    <row r="132" spans="1:63" ht="25.8" customHeight="1">
      <c r="A132" s="29"/>
      <c r="B132" s="29"/>
      <c r="C132" s="334"/>
      <c r="D132" s="29"/>
      <c r="E132" s="663" t="s">
        <v>774</v>
      </c>
      <c r="F132" s="664"/>
      <c r="G132" s="664"/>
      <c r="H132" s="664"/>
      <c r="I132" s="664"/>
      <c r="J132" s="664"/>
      <c r="K132" s="664"/>
      <c r="L132" s="664"/>
      <c r="M132" s="664"/>
      <c r="N132" s="664"/>
      <c r="O132" s="664"/>
      <c r="P132" s="664"/>
      <c r="Q132" s="664"/>
      <c r="R132" s="665"/>
      <c r="S132" s="357"/>
      <c r="T132" s="357"/>
      <c r="U132" s="357"/>
      <c r="V132" s="289">
        <f>AVERAGE(V118:V131)</f>
        <v>1</v>
      </c>
      <c r="W132" s="341"/>
      <c r="X132" s="341"/>
      <c r="Y132" s="342"/>
      <c r="Z132" s="29"/>
      <c r="AA132" s="339"/>
      <c r="AB132" s="206"/>
      <c r="AC132" s="339"/>
      <c r="AD132" s="339"/>
      <c r="AE132" s="343"/>
      <c r="AF132" s="380"/>
      <c r="AG132" s="368"/>
      <c r="AH132" s="339"/>
      <c r="AI132" s="206"/>
      <c r="AJ132" s="206"/>
      <c r="AK132" s="206"/>
      <c r="AL132" s="206"/>
      <c r="AM132" s="381">
        <f>SUM(AM118)</f>
        <v>3456124347</v>
      </c>
      <c r="AN132" s="381">
        <f>SUM(AN118)</f>
        <v>3656986372.5799999</v>
      </c>
      <c r="AO132" s="381">
        <f>SUM(AO118)</f>
        <v>3656986372.5799999</v>
      </c>
      <c r="AP132" s="381">
        <f>SUM(AP118)</f>
        <v>3752736372.5799999</v>
      </c>
      <c r="AQ132" s="471">
        <f>SUM(AQ118:AQ131)</f>
        <v>3993736372.5799999</v>
      </c>
      <c r="AR132" s="348"/>
      <c r="AS132" s="339"/>
      <c r="AT132" s="339">
        <f>SUM(AT118)</f>
        <v>0</v>
      </c>
      <c r="AU132" s="377">
        <f>+AU118</f>
        <v>0</v>
      </c>
      <c r="AV132" s="339">
        <f>SUM(AV118)</f>
        <v>0</v>
      </c>
      <c r="AW132" s="377">
        <f>+AW118</f>
        <v>0</v>
      </c>
      <c r="AX132" s="373">
        <f>SUM(AX118)</f>
        <v>2070775153</v>
      </c>
      <c r="AY132" s="369">
        <f>+AY118</f>
        <v>0.56625181010424996</v>
      </c>
      <c r="AZ132" s="373">
        <f>SUM(AZ118)</f>
        <v>423455000</v>
      </c>
      <c r="BA132" s="369">
        <f>+BA118</f>
        <v>0.11579343121840865</v>
      </c>
      <c r="BB132" s="373">
        <f>SUM(BB118)</f>
        <v>3050149260.8400002</v>
      </c>
      <c r="BC132" s="369">
        <f>+BC118</f>
        <v>0.81278005114519347</v>
      </c>
      <c r="BD132" s="373">
        <f>SUM(BD118)</f>
        <v>3050149260.8400002</v>
      </c>
      <c r="BE132" s="369">
        <f>+BE118</f>
        <v>0.81278005114519347</v>
      </c>
      <c r="BF132" s="399">
        <f>SUM(BF118:BF131)</f>
        <v>3919543916.48</v>
      </c>
      <c r="BG132" s="434">
        <f>+BF132/AQ132</f>
        <v>0.98142279580360214</v>
      </c>
      <c r="BH132" s="399">
        <f>SUM(BH118:BH131)</f>
        <v>3908303250.48</v>
      </c>
      <c r="BI132" s="434">
        <f>+BH132/AQ132</f>
        <v>0.97860822194310004</v>
      </c>
      <c r="BJ132" s="367"/>
    </row>
    <row r="133" spans="1:63" ht="25.8" customHeight="1">
      <c r="A133" s="29" t="s">
        <v>257</v>
      </c>
      <c r="B133" s="29" t="s">
        <v>202</v>
      </c>
      <c r="C133" s="334" t="s">
        <v>364</v>
      </c>
      <c r="D133" s="29" t="s">
        <v>221</v>
      </c>
      <c r="E133" s="29" t="s">
        <v>268</v>
      </c>
      <c r="F133" s="335">
        <v>2024130010142</v>
      </c>
      <c r="G133" s="29" t="s">
        <v>276</v>
      </c>
      <c r="H133" s="29" t="s">
        <v>289</v>
      </c>
      <c r="I133" s="29" t="s">
        <v>250</v>
      </c>
      <c r="J133" s="353">
        <v>15</v>
      </c>
      <c r="K133" s="379">
        <v>0.2</v>
      </c>
      <c r="L133" s="339" t="s">
        <v>603</v>
      </c>
      <c r="M133" s="206"/>
      <c r="N133" s="339" t="s">
        <v>662</v>
      </c>
      <c r="O133" s="339">
        <v>70</v>
      </c>
      <c r="P133" s="340">
        <v>85</v>
      </c>
      <c r="Q133" s="340"/>
      <c r="R133" s="353">
        <v>15</v>
      </c>
      <c r="S133" s="353">
        <v>8</v>
      </c>
      <c r="T133" s="435">
        <v>62</v>
      </c>
      <c r="U133" s="337">
        <f t="shared" si="6"/>
        <v>85</v>
      </c>
      <c r="V133" s="349">
        <f>+U133/P133</f>
        <v>1</v>
      </c>
      <c r="W133" s="341">
        <v>45660</v>
      </c>
      <c r="X133" s="341">
        <v>46022</v>
      </c>
      <c r="Y133" s="342">
        <f t="shared" si="7"/>
        <v>362</v>
      </c>
      <c r="Z133" s="206"/>
      <c r="AA133" s="339" t="s">
        <v>352</v>
      </c>
      <c r="AB133" s="339" t="s">
        <v>369</v>
      </c>
      <c r="AC133" s="29" t="s">
        <v>419</v>
      </c>
      <c r="AD133" s="29" t="s">
        <v>420</v>
      </c>
      <c r="AE133" s="343" t="s">
        <v>351</v>
      </c>
      <c r="AF133" s="339" t="s">
        <v>664</v>
      </c>
      <c r="AG133" s="344">
        <v>500000000</v>
      </c>
      <c r="AH133" s="339" t="s">
        <v>53</v>
      </c>
      <c r="AI133" s="206" t="s">
        <v>49</v>
      </c>
      <c r="AJ133" s="206"/>
      <c r="AK133" s="206"/>
      <c r="AL133" s="345" t="s">
        <v>888</v>
      </c>
      <c r="AM133" s="604">
        <v>770484000</v>
      </c>
      <c r="AN133" s="604">
        <v>770484000</v>
      </c>
      <c r="AO133" s="604">
        <v>1340931839.8</v>
      </c>
      <c r="AP133" s="613">
        <v>1340931839.8</v>
      </c>
      <c r="AQ133" s="433">
        <v>317000000</v>
      </c>
      <c r="AR133" s="470" t="s">
        <v>1053</v>
      </c>
      <c r="AS133" s="339" t="s">
        <v>268</v>
      </c>
      <c r="AT133" s="637">
        <v>198800000</v>
      </c>
      <c r="AU133" s="640">
        <f>+AT133/AN133</f>
        <v>0.25801963441161657</v>
      </c>
      <c r="AV133" s="637">
        <v>198800000</v>
      </c>
      <c r="AW133" s="640">
        <f>+AV133/AN133</f>
        <v>0.25801963441161657</v>
      </c>
      <c r="AX133" s="637">
        <v>453484000</v>
      </c>
      <c r="AY133" s="640">
        <f>+AX133/AO133</f>
        <v>0.33818572021351745</v>
      </c>
      <c r="AZ133" s="637">
        <v>453484000</v>
      </c>
      <c r="BA133" s="640">
        <f>+AZ133/AO133</f>
        <v>0.33818572021351745</v>
      </c>
      <c r="BB133" s="604">
        <v>453484000</v>
      </c>
      <c r="BC133" s="610">
        <f>+BB133/AP133</f>
        <v>0.33818572021351745</v>
      </c>
      <c r="BD133" s="604">
        <v>453484000</v>
      </c>
      <c r="BE133" s="610">
        <f>+BD133/AP133</f>
        <v>0.33818572021351745</v>
      </c>
      <c r="BF133" s="399">
        <v>453484000</v>
      </c>
      <c r="BG133" s="434"/>
      <c r="BH133" s="399">
        <v>453484000</v>
      </c>
      <c r="BI133" s="434"/>
      <c r="BJ133" s="29" t="s">
        <v>823</v>
      </c>
      <c r="BK133" s="465" t="s">
        <v>1045</v>
      </c>
    </row>
    <row r="134" spans="1:63" ht="25.8" customHeight="1">
      <c r="A134" s="29" t="s">
        <v>257</v>
      </c>
      <c r="B134" s="29" t="s">
        <v>202</v>
      </c>
      <c r="C134" s="334" t="s">
        <v>364</v>
      </c>
      <c r="D134" s="29" t="s">
        <v>222</v>
      </c>
      <c r="E134" s="29" t="s">
        <v>268</v>
      </c>
      <c r="F134" s="335">
        <v>2024130010142</v>
      </c>
      <c r="G134" s="29" t="s">
        <v>276</v>
      </c>
      <c r="H134" s="29" t="s">
        <v>289</v>
      </c>
      <c r="I134" s="29" t="s">
        <v>251</v>
      </c>
      <c r="J134" s="353">
        <v>53477</v>
      </c>
      <c r="K134" s="379">
        <v>0.35</v>
      </c>
      <c r="L134" s="380" t="s">
        <v>322</v>
      </c>
      <c r="M134" s="206"/>
      <c r="N134" s="339" t="s">
        <v>638</v>
      </c>
      <c r="O134" s="339">
        <v>20000</v>
      </c>
      <c r="P134" s="340">
        <v>15000</v>
      </c>
      <c r="Q134" s="340"/>
      <c r="R134" s="353">
        <v>53477</v>
      </c>
      <c r="S134" s="396">
        <v>7057</v>
      </c>
      <c r="T134" s="435">
        <v>131842</v>
      </c>
      <c r="U134" s="337">
        <f t="shared" si="6"/>
        <v>192376</v>
      </c>
      <c r="V134" s="349">
        <v>1</v>
      </c>
      <c r="W134" s="341">
        <v>45660</v>
      </c>
      <c r="X134" s="341">
        <v>46022</v>
      </c>
      <c r="Y134" s="342">
        <f t="shared" si="7"/>
        <v>362</v>
      </c>
      <c r="Z134" s="29">
        <v>15000</v>
      </c>
      <c r="AA134" s="339" t="s">
        <v>352</v>
      </c>
      <c r="AB134" s="339" t="s">
        <v>369</v>
      </c>
      <c r="AC134" s="29" t="s">
        <v>421</v>
      </c>
      <c r="AD134" s="339" t="s">
        <v>422</v>
      </c>
      <c r="AE134" s="343" t="s">
        <v>351</v>
      </c>
      <c r="AF134" s="339" t="s">
        <v>664</v>
      </c>
      <c r="AG134" s="344">
        <v>50000000</v>
      </c>
      <c r="AH134" s="339" t="s">
        <v>53</v>
      </c>
      <c r="AI134" s="206" t="s">
        <v>49</v>
      </c>
      <c r="AJ134" s="206"/>
      <c r="AK134" s="206"/>
      <c r="AL134" s="345" t="s">
        <v>888</v>
      </c>
      <c r="AM134" s="605"/>
      <c r="AN134" s="605"/>
      <c r="AO134" s="605"/>
      <c r="AP134" s="596"/>
      <c r="AQ134" s="433">
        <v>453484000</v>
      </c>
      <c r="AR134" s="470" t="s">
        <v>1054</v>
      </c>
      <c r="AS134" s="339" t="s">
        <v>268</v>
      </c>
      <c r="AT134" s="638"/>
      <c r="AU134" s="641"/>
      <c r="AV134" s="638"/>
      <c r="AW134" s="641"/>
      <c r="AX134" s="638"/>
      <c r="AY134" s="641"/>
      <c r="AZ134" s="638"/>
      <c r="BA134" s="641"/>
      <c r="BB134" s="605"/>
      <c r="BC134" s="611"/>
      <c r="BD134" s="605"/>
      <c r="BE134" s="611"/>
      <c r="BF134" s="399">
        <v>16577160.199999999</v>
      </c>
      <c r="BG134" s="434"/>
      <c r="BH134" s="399">
        <v>16577160.199999999</v>
      </c>
      <c r="BI134" s="434"/>
      <c r="BJ134" s="29" t="s">
        <v>823</v>
      </c>
      <c r="BK134" s="463" t="s">
        <v>1046</v>
      </c>
    </row>
    <row r="135" spans="1:63" ht="25.8" customHeight="1">
      <c r="A135" s="29" t="s">
        <v>257</v>
      </c>
      <c r="B135" s="29" t="s">
        <v>202</v>
      </c>
      <c r="C135" s="334" t="s">
        <v>364</v>
      </c>
      <c r="D135" s="29" t="s">
        <v>224</v>
      </c>
      <c r="E135" s="29" t="s">
        <v>268</v>
      </c>
      <c r="F135" s="335">
        <v>2024130010142</v>
      </c>
      <c r="G135" s="29" t="s">
        <v>276</v>
      </c>
      <c r="H135" s="29" t="s">
        <v>289</v>
      </c>
      <c r="I135" s="29" t="s">
        <v>253</v>
      </c>
      <c r="J135" s="353">
        <v>17493</v>
      </c>
      <c r="K135" s="379">
        <v>0.25</v>
      </c>
      <c r="L135" s="339" t="s">
        <v>330</v>
      </c>
      <c r="M135" s="206"/>
      <c r="N135" s="339" t="s">
        <v>639</v>
      </c>
      <c r="O135" s="339">
        <v>32637</v>
      </c>
      <c r="P135" s="340">
        <v>17000</v>
      </c>
      <c r="Q135" s="340"/>
      <c r="R135" s="353">
        <v>17493</v>
      </c>
      <c r="S135" s="353">
        <v>0</v>
      </c>
      <c r="T135" s="435">
        <v>14418</v>
      </c>
      <c r="U135" s="337">
        <f t="shared" si="6"/>
        <v>31911</v>
      </c>
      <c r="V135" s="349">
        <v>1</v>
      </c>
      <c r="W135" s="341">
        <v>45660</v>
      </c>
      <c r="X135" s="341">
        <v>46022</v>
      </c>
      <c r="Y135" s="342">
        <f t="shared" si="7"/>
        <v>362</v>
      </c>
      <c r="Z135" s="29">
        <v>17000</v>
      </c>
      <c r="AA135" s="339" t="s">
        <v>352</v>
      </c>
      <c r="AB135" s="339" t="s">
        <v>369</v>
      </c>
      <c r="AC135" s="29" t="s">
        <v>423</v>
      </c>
      <c r="AD135" s="339" t="s">
        <v>424</v>
      </c>
      <c r="AE135" s="343" t="s">
        <v>351</v>
      </c>
      <c r="AF135" s="339" t="s">
        <v>664</v>
      </c>
      <c r="AG135" s="344">
        <v>50000000</v>
      </c>
      <c r="AH135" s="339" t="s">
        <v>53</v>
      </c>
      <c r="AI135" s="206" t="s">
        <v>49</v>
      </c>
      <c r="AJ135" s="206"/>
      <c r="AK135" s="206"/>
      <c r="AL135" s="345" t="s">
        <v>888</v>
      </c>
      <c r="AM135" s="605"/>
      <c r="AN135" s="605"/>
      <c r="AO135" s="605"/>
      <c r="AP135" s="596"/>
      <c r="AQ135" s="433">
        <v>570447839.79999995</v>
      </c>
      <c r="AR135" s="470" t="s">
        <v>1055</v>
      </c>
      <c r="AS135" s="339" t="s">
        <v>268</v>
      </c>
      <c r="AT135" s="638"/>
      <c r="AU135" s="641"/>
      <c r="AV135" s="638"/>
      <c r="AW135" s="641"/>
      <c r="AX135" s="638"/>
      <c r="AY135" s="641"/>
      <c r="AZ135" s="638"/>
      <c r="BA135" s="641"/>
      <c r="BB135" s="605"/>
      <c r="BC135" s="611"/>
      <c r="BD135" s="605"/>
      <c r="BE135" s="611"/>
      <c r="BF135" s="399">
        <v>570447839.79999995</v>
      </c>
      <c r="BG135" s="434"/>
      <c r="BH135" s="399">
        <v>570447839.79999995</v>
      </c>
      <c r="BI135" s="434"/>
      <c r="BJ135" s="29" t="s">
        <v>924</v>
      </c>
      <c r="BK135" s="677" t="s">
        <v>1047</v>
      </c>
    </row>
    <row r="136" spans="1:63" ht="25.8" customHeight="1">
      <c r="A136" s="29" t="s">
        <v>257</v>
      </c>
      <c r="B136" s="29" t="s">
        <v>202</v>
      </c>
      <c r="C136" s="334" t="s">
        <v>364</v>
      </c>
      <c r="D136" s="29" t="s">
        <v>224</v>
      </c>
      <c r="E136" s="29" t="s">
        <v>268</v>
      </c>
      <c r="F136" s="335">
        <v>2024130010142</v>
      </c>
      <c r="G136" s="29" t="s">
        <v>276</v>
      </c>
      <c r="H136" s="29" t="s">
        <v>329</v>
      </c>
      <c r="I136" s="29" t="s">
        <v>253</v>
      </c>
      <c r="J136" s="353">
        <v>17493</v>
      </c>
      <c r="K136" s="379">
        <v>0.25</v>
      </c>
      <c r="L136" s="380" t="s">
        <v>331</v>
      </c>
      <c r="M136" s="206"/>
      <c r="N136" s="339" t="s">
        <v>816</v>
      </c>
      <c r="O136" s="339">
        <v>2</v>
      </c>
      <c r="P136" s="340">
        <v>3</v>
      </c>
      <c r="Q136" s="340"/>
      <c r="R136" s="353">
        <v>2</v>
      </c>
      <c r="S136" s="353">
        <v>0</v>
      </c>
      <c r="T136" s="435">
        <v>0</v>
      </c>
      <c r="U136" s="337">
        <f t="shared" si="6"/>
        <v>2</v>
      </c>
      <c r="V136" s="349">
        <f>+U136/P136</f>
        <v>0.66666666666666663</v>
      </c>
      <c r="W136" s="341">
        <v>45660</v>
      </c>
      <c r="X136" s="341">
        <v>46022</v>
      </c>
      <c r="Y136" s="342">
        <f t="shared" si="7"/>
        <v>362</v>
      </c>
      <c r="Z136" s="29">
        <v>17000</v>
      </c>
      <c r="AA136" s="339" t="s">
        <v>352</v>
      </c>
      <c r="AB136" s="339" t="s">
        <v>369</v>
      </c>
      <c r="AC136" s="29" t="s">
        <v>425</v>
      </c>
      <c r="AD136" s="339" t="s">
        <v>426</v>
      </c>
      <c r="AE136" s="206" t="s">
        <v>351</v>
      </c>
      <c r="AF136" s="339" t="s">
        <v>665</v>
      </c>
      <c r="AG136" s="344">
        <v>70484000</v>
      </c>
      <c r="AH136" s="339" t="s">
        <v>53</v>
      </c>
      <c r="AI136" s="206" t="s">
        <v>49</v>
      </c>
      <c r="AJ136" s="206"/>
      <c r="AK136" s="206"/>
      <c r="AL136" s="345" t="s">
        <v>888</v>
      </c>
      <c r="AM136" s="605"/>
      <c r="AN136" s="605"/>
      <c r="AO136" s="605"/>
      <c r="AP136" s="596"/>
      <c r="AQ136" s="478"/>
      <c r="AR136" s="469"/>
      <c r="AS136" s="339" t="s">
        <v>268</v>
      </c>
      <c r="AT136" s="638"/>
      <c r="AU136" s="641"/>
      <c r="AV136" s="638"/>
      <c r="AW136" s="641"/>
      <c r="AX136" s="638"/>
      <c r="AY136" s="641"/>
      <c r="AZ136" s="638"/>
      <c r="BA136" s="641"/>
      <c r="BB136" s="605"/>
      <c r="BC136" s="611"/>
      <c r="BD136" s="605"/>
      <c r="BE136" s="611"/>
      <c r="BF136" s="399"/>
      <c r="BG136" s="399"/>
      <c r="BH136" s="399"/>
      <c r="BI136" s="399"/>
      <c r="BJ136" s="29" t="s">
        <v>924</v>
      </c>
      <c r="BK136" s="678"/>
    </row>
    <row r="137" spans="1:63" ht="25.8" customHeight="1">
      <c r="A137" s="29" t="s">
        <v>257</v>
      </c>
      <c r="B137" s="29" t="s">
        <v>202</v>
      </c>
      <c r="C137" s="334" t="s">
        <v>364</v>
      </c>
      <c r="D137" s="29" t="s">
        <v>224</v>
      </c>
      <c r="E137" s="29" t="s">
        <v>268</v>
      </c>
      <c r="F137" s="335">
        <v>2024130010142</v>
      </c>
      <c r="G137" s="29" t="s">
        <v>276</v>
      </c>
      <c r="H137" s="29" t="s">
        <v>329</v>
      </c>
      <c r="I137" s="29" t="s">
        <v>253</v>
      </c>
      <c r="J137" s="353">
        <v>17493</v>
      </c>
      <c r="K137" s="379">
        <v>0.25</v>
      </c>
      <c r="L137" s="339" t="s">
        <v>332</v>
      </c>
      <c r="M137" s="206"/>
      <c r="N137" s="339" t="s">
        <v>663</v>
      </c>
      <c r="O137" s="339">
        <v>2</v>
      </c>
      <c r="P137" s="340">
        <v>20</v>
      </c>
      <c r="Q137" s="340"/>
      <c r="R137" s="353">
        <v>10</v>
      </c>
      <c r="S137" s="353">
        <v>0</v>
      </c>
      <c r="T137" s="435">
        <v>10</v>
      </c>
      <c r="U137" s="337">
        <f t="shared" si="6"/>
        <v>20</v>
      </c>
      <c r="V137" s="349">
        <f>+U137/P137</f>
        <v>1</v>
      </c>
      <c r="W137" s="341">
        <v>45660</v>
      </c>
      <c r="X137" s="341">
        <v>46022</v>
      </c>
      <c r="Y137" s="342">
        <f t="shared" si="7"/>
        <v>362</v>
      </c>
      <c r="Z137" s="29">
        <f>+Z136+Z134</f>
        <v>32000</v>
      </c>
      <c r="AA137" s="339" t="s">
        <v>352</v>
      </c>
      <c r="AB137" s="339" t="s">
        <v>369</v>
      </c>
      <c r="AC137" s="29" t="s">
        <v>425</v>
      </c>
      <c r="AD137" s="339" t="s">
        <v>426</v>
      </c>
      <c r="AE137" s="206" t="s">
        <v>351</v>
      </c>
      <c r="AF137" s="339" t="s">
        <v>664</v>
      </c>
      <c r="AG137" s="344">
        <v>100000000</v>
      </c>
      <c r="AH137" s="339" t="s">
        <v>53</v>
      </c>
      <c r="AI137" s="206" t="s">
        <v>49</v>
      </c>
      <c r="AJ137" s="206"/>
      <c r="AK137" s="206"/>
      <c r="AL137" s="345" t="s">
        <v>888</v>
      </c>
      <c r="AM137" s="606"/>
      <c r="AN137" s="606"/>
      <c r="AO137" s="606"/>
      <c r="AP137" s="597"/>
      <c r="AQ137" s="478"/>
      <c r="AR137" s="469"/>
      <c r="AS137" s="339" t="s">
        <v>268</v>
      </c>
      <c r="AT137" s="639"/>
      <c r="AU137" s="642"/>
      <c r="AV137" s="639"/>
      <c r="AW137" s="642"/>
      <c r="AX137" s="639"/>
      <c r="AY137" s="642"/>
      <c r="AZ137" s="639"/>
      <c r="BA137" s="642"/>
      <c r="BB137" s="606"/>
      <c r="BC137" s="612"/>
      <c r="BD137" s="606"/>
      <c r="BE137" s="612"/>
      <c r="BF137" s="399"/>
      <c r="BG137" s="399"/>
      <c r="BH137" s="399"/>
      <c r="BI137" s="399"/>
      <c r="BJ137" s="29" t="s">
        <v>924</v>
      </c>
      <c r="BK137" s="679"/>
    </row>
    <row r="138" spans="1:63" ht="25.8" customHeight="1">
      <c r="A138" s="29"/>
      <c r="B138" s="29"/>
      <c r="C138" s="334"/>
      <c r="D138" s="29"/>
      <c r="E138" s="663" t="s">
        <v>775</v>
      </c>
      <c r="F138" s="664"/>
      <c r="G138" s="664"/>
      <c r="H138" s="664"/>
      <c r="I138" s="664"/>
      <c r="J138" s="664"/>
      <c r="K138" s="664"/>
      <c r="L138" s="664"/>
      <c r="M138" s="664"/>
      <c r="N138" s="664"/>
      <c r="O138" s="664"/>
      <c r="P138" s="664"/>
      <c r="Q138" s="664"/>
      <c r="R138" s="665"/>
      <c r="S138" s="357"/>
      <c r="T138" s="357"/>
      <c r="U138" s="357"/>
      <c r="V138" s="289">
        <f>AVERAGE(V133:V137)</f>
        <v>0.93333333333333324</v>
      </c>
      <c r="W138" s="341"/>
      <c r="X138" s="341"/>
      <c r="Y138" s="342"/>
      <c r="Z138" s="29"/>
      <c r="AA138" s="339"/>
      <c r="AB138" s="339"/>
      <c r="AC138" s="29"/>
      <c r="AD138" s="339"/>
      <c r="AE138" s="206"/>
      <c r="AF138" s="339"/>
      <c r="AG138" s="344"/>
      <c r="AH138" s="339"/>
      <c r="AI138" s="206"/>
      <c r="AJ138" s="206"/>
      <c r="AK138" s="206"/>
      <c r="AL138" s="206"/>
      <c r="AM138" s="359">
        <f>SUM(AM133)</f>
        <v>770484000</v>
      </c>
      <c r="AN138" s="359">
        <f>SUM(AN133)</f>
        <v>770484000</v>
      </c>
      <c r="AO138" s="359">
        <f>SUM(AO133)</f>
        <v>1340931839.8</v>
      </c>
      <c r="AP138" s="359">
        <f>SUM(AP133)</f>
        <v>1340931839.8</v>
      </c>
      <c r="AQ138" s="477">
        <f>SUM(AQ133:AQ137)</f>
        <v>1340931839.8</v>
      </c>
      <c r="AR138" s="348"/>
      <c r="AS138" s="339"/>
      <c r="AT138" s="362">
        <f>SUM(AT133)</f>
        <v>198800000</v>
      </c>
      <c r="AU138" s="365">
        <f>+AU133</f>
        <v>0.25801963441161657</v>
      </c>
      <c r="AV138" s="362">
        <f>SUM(AV133)</f>
        <v>198800000</v>
      </c>
      <c r="AW138" s="365">
        <f>+AW133</f>
        <v>0.25801963441161657</v>
      </c>
      <c r="AX138" s="362">
        <f>SUM(AX133)</f>
        <v>453484000</v>
      </c>
      <c r="AY138" s="365">
        <f>+AY133</f>
        <v>0.33818572021351745</v>
      </c>
      <c r="AZ138" s="362">
        <f>SUM(AZ133)</f>
        <v>453484000</v>
      </c>
      <c r="BA138" s="365">
        <f>+BA133</f>
        <v>0.33818572021351745</v>
      </c>
      <c r="BB138" s="362">
        <f>SUM(BB133)</f>
        <v>453484000</v>
      </c>
      <c r="BC138" s="365">
        <f>+BC133</f>
        <v>0.33818572021351745</v>
      </c>
      <c r="BD138" s="362">
        <f>SUM(BD133)</f>
        <v>453484000</v>
      </c>
      <c r="BE138" s="365">
        <f>+BE133</f>
        <v>0.33818572021351745</v>
      </c>
      <c r="BF138" s="399">
        <f>SUM(BF133:BF137)</f>
        <v>1040509000</v>
      </c>
      <c r="BG138" s="434">
        <f>+BF138/AQ138</f>
        <v>0.77595964919081339</v>
      </c>
      <c r="BH138" s="399">
        <f>SUM(BH133:BH137)</f>
        <v>1040509000</v>
      </c>
      <c r="BI138" s="434">
        <f>+BH138/AQ138</f>
        <v>0.77595964919081339</v>
      </c>
      <c r="BJ138" s="367"/>
    </row>
    <row r="139" spans="1:63" ht="25.8" customHeight="1">
      <c r="A139" s="29" t="s">
        <v>257</v>
      </c>
      <c r="B139" s="29" t="s">
        <v>203</v>
      </c>
      <c r="C139" s="334" t="s">
        <v>365</v>
      </c>
      <c r="D139" s="29" t="s">
        <v>225</v>
      </c>
      <c r="E139" s="29" t="s">
        <v>269</v>
      </c>
      <c r="F139" s="335">
        <v>2024130010144</v>
      </c>
      <c r="G139" s="29" t="s">
        <v>608</v>
      </c>
      <c r="H139" s="29" t="s">
        <v>609</v>
      </c>
      <c r="I139" s="29" t="s">
        <v>610</v>
      </c>
      <c r="J139" s="337">
        <v>1</v>
      </c>
      <c r="K139" s="379">
        <v>0.5</v>
      </c>
      <c r="L139" s="29" t="s">
        <v>655</v>
      </c>
      <c r="M139" s="206"/>
      <c r="N139" s="339" t="s">
        <v>640</v>
      </c>
      <c r="O139" s="339">
        <v>0</v>
      </c>
      <c r="P139" s="340">
        <v>1</v>
      </c>
      <c r="Q139" s="340">
        <v>0</v>
      </c>
      <c r="R139" s="337">
        <v>1</v>
      </c>
      <c r="S139" s="337">
        <v>0</v>
      </c>
      <c r="T139" s="337">
        <v>0</v>
      </c>
      <c r="U139" s="337">
        <f t="shared" si="6"/>
        <v>1</v>
      </c>
      <c r="V139" s="286">
        <f>+U139/P139</f>
        <v>1</v>
      </c>
      <c r="W139" s="341">
        <v>45660</v>
      </c>
      <c r="X139" s="341">
        <v>46022</v>
      </c>
      <c r="Y139" s="342">
        <f t="shared" si="7"/>
        <v>362</v>
      </c>
      <c r="Z139" s="339">
        <f>1500/2</f>
        <v>750</v>
      </c>
      <c r="AA139" s="339" t="s">
        <v>352</v>
      </c>
      <c r="AB139" s="206" t="s">
        <v>360</v>
      </c>
      <c r="AC139" s="339" t="s">
        <v>425</v>
      </c>
      <c r="AD139" s="339" t="s">
        <v>426</v>
      </c>
      <c r="AE139" s="206" t="s">
        <v>351</v>
      </c>
      <c r="AF139" s="380" t="s">
        <v>658</v>
      </c>
      <c r="AG139" s="388">
        <v>150000000</v>
      </c>
      <c r="AH139" s="339" t="s">
        <v>54</v>
      </c>
      <c r="AI139" s="206" t="s">
        <v>49</v>
      </c>
      <c r="AJ139" s="206"/>
      <c r="AK139" s="206"/>
      <c r="AL139" s="345" t="s">
        <v>867</v>
      </c>
      <c r="AM139" s="604">
        <v>385776000</v>
      </c>
      <c r="AN139" s="604">
        <v>385776000</v>
      </c>
      <c r="AO139" s="604">
        <v>385776000</v>
      </c>
      <c r="AP139" s="673">
        <v>385776000</v>
      </c>
      <c r="AQ139" s="431">
        <v>385776000</v>
      </c>
      <c r="AR139" s="512" t="s">
        <v>1053</v>
      </c>
      <c r="AS139" s="339" t="s">
        <v>269</v>
      </c>
      <c r="AT139" s="615">
        <v>0</v>
      </c>
      <c r="AU139" s="624">
        <v>0</v>
      </c>
      <c r="AV139" s="615">
        <v>0</v>
      </c>
      <c r="AW139" s="624">
        <v>0</v>
      </c>
      <c r="AX139" s="621">
        <v>246796000</v>
      </c>
      <c r="AY139" s="624">
        <f>+AX139/AO139</f>
        <v>0.63973912322176596</v>
      </c>
      <c r="AZ139" s="621">
        <v>246796000</v>
      </c>
      <c r="BA139" s="624">
        <f>+AZ139/AO139</f>
        <v>0.63973912322176596</v>
      </c>
      <c r="BB139" s="604">
        <v>246796000</v>
      </c>
      <c r="BC139" s="624">
        <f>+BB139/AP139</f>
        <v>0.63973912322176596</v>
      </c>
      <c r="BD139" s="604">
        <v>246796000</v>
      </c>
      <c r="BE139" s="624">
        <f>+BD139/AP139</f>
        <v>0.63973912322176596</v>
      </c>
      <c r="BF139" s="431">
        <v>384721500</v>
      </c>
      <c r="BG139" s="339"/>
      <c r="BH139" s="431">
        <v>384721500</v>
      </c>
      <c r="BI139" s="339"/>
      <c r="BJ139" s="29" t="s">
        <v>821</v>
      </c>
      <c r="BK139" s="466" t="s">
        <v>1048</v>
      </c>
    </row>
    <row r="140" spans="1:63" ht="25.8" customHeight="1">
      <c r="A140" s="29" t="s">
        <v>257</v>
      </c>
      <c r="B140" s="29" t="s">
        <v>203</v>
      </c>
      <c r="C140" s="334" t="s">
        <v>365</v>
      </c>
      <c r="D140" s="29" t="s">
        <v>226</v>
      </c>
      <c r="E140" s="29" t="s">
        <v>269</v>
      </c>
      <c r="F140" s="335">
        <v>2024130010144</v>
      </c>
      <c r="G140" s="29" t="s">
        <v>608</v>
      </c>
      <c r="H140" s="29" t="s">
        <v>609</v>
      </c>
      <c r="I140" s="29" t="s">
        <v>610</v>
      </c>
      <c r="J140" s="337">
        <v>0</v>
      </c>
      <c r="K140" s="379">
        <v>0.5</v>
      </c>
      <c r="L140" s="29" t="s">
        <v>654</v>
      </c>
      <c r="M140" s="206"/>
      <c r="N140" s="339" t="s">
        <v>641</v>
      </c>
      <c r="O140" s="339">
        <v>0</v>
      </c>
      <c r="P140" s="340">
        <v>1</v>
      </c>
      <c r="Q140" s="340">
        <v>0</v>
      </c>
      <c r="R140" s="337">
        <v>0</v>
      </c>
      <c r="S140" s="337">
        <v>0</v>
      </c>
      <c r="T140" s="337">
        <v>1</v>
      </c>
      <c r="U140" s="337">
        <f t="shared" ref="U140:U144" si="13">SUM(Q140:T140)</f>
        <v>1</v>
      </c>
      <c r="V140" s="286">
        <f>+U140/P140</f>
        <v>1</v>
      </c>
      <c r="W140" s="341">
        <v>45660</v>
      </c>
      <c r="X140" s="341">
        <v>46022</v>
      </c>
      <c r="Y140" s="342">
        <f t="shared" si="7"/>
        <v>362</v>
      </c>
      <c r="Z140" s="339">
        <f>1500/2</f>
        <v>750</v>
      </c>
      <c r="AA140" s="339" t="s">
        <v>352</v>
      </c>
      <c r="AB140" s="206" t="s">
        <v>360</v>
      </c>
      <c r="AC140" s="339" t="s">
        <v>425</v>
      </c>
      <c r="AD140" s="339" t="s">
        <v>426</v>
      </c>
      <c r="AE140" s="206" t="s">
        <v>351</v>
      </c>
      <c r="AF140" s="380" t="s">
        <v>658</v>
      </c>
      <c r="AG140" s="388">
        <v>150000000</v>
      </c>
      <c r="AH140" s="339" t="s">
        <v>54</v>
      </c>
      <c r="AI140" s="206" t="s">
        <v>49</v>
      </c>
      <c r="AJ140" s="206"/>
      <c r="AK140" s="206"/>
      <c r="AL140" s="345" t="s">
        <v>867</v>
      </c>
      <c r="AM140" s="605"/>
      <c r="AN140" s="605"/>
      <c r="AO140" s="605"/>
      <c r="AP140" s="674"/>
      <c r="AQ140" s="386"/>
      <c r="AR140" s="514"/>
      <c r="AS140" s="339" t="s">
        <v>269</v>
      </c>
      <c r="AT140" s="616"/>
      <c r="AU140" s="625"/>
      <c r="AV140" s="616"/>
      <c r="AW140" s="625"/>
      <c r="AX140" s="622"/>
      <c r="AY140" s="625"/>
      <c r="AZ140" s="622"/>
      <c r="BA140" s="625"/>
      <c r="BB140" s="605"/>
      <c r="BC140" s="625"/>
      <c r="BD140" s="605"/>
      <c r="BE140" s="625"/>
      <c r="BF140" s="339"/>
      <c r="BG140" s="339"/>
      <c r="BH140" s="339"/>
      <c r="BI140" s="339"/>
      <c r="BJ140" s="29" t="s">
        <v>925</v>
      </c>
      <c r="BK140" s="467" t="s">
        <v>1049</v>
      </c>
    </row>
    <row r="141" spans="1:63" ht="25.8" customHeight="1">
      <c r="A141" s="29" t="s">
        <v>257</v>
      </c>
      <c r="B141" s="29" t="s">
        <v>203</v>
      </c>
      <c r="C141" s="334" t="s">
        <v>365</v>
      </c>
      <c r="D141" s="29" t="s">
        <v>226</v>
      </c>
      <c r="E141" s="29" t="s">
        <v>269</v>
      </c>
      <c r="F141" s="335">
        <v>2024130010144</v>
      </c>
      <c r="G141" s="29" t="s">
        <v>608</v>
      </c>
      <c r="H141" s="29" t="s">
        <v>609</v>
      </c>
      <c r="I141" s="29" t="s">
        <v>610</v>
      </c>
      <c r="J141" s="337">
        <v>0</v>
      </c>
      <c r="K141" s="379">
        <v>0.5</v>
      </c>
      <c r="L141" s="29" t="s">
        <v>656</v>
      </c>
      <c r="M141" s="206"/>
      <c r="N141" s="339" t="s">
        <v>657</v>
      </c>
      <c r="O141" s="339">
        <v>0</v>
      </c>
      <c r="P141" s="340">
        <v>2</v>
      </c>
      <c r="Q141" s="340">
        <v>0</v>
      </c>
      <c r="R141" s="337">
        <v>1</v>
      </c>
      <c r="S141" s="337">
        <v>0</v>
      </c>
      <c r="T141" s="337">
        <v>1</v>
      </c>
      <c r="U141" s="337">
        <f t="shared" si="13"/>
        <v>2</v>
      </c>
      <c r="V141" s="286">
        <f>+U141/P141</f>
        <v>1</v>
      </c>
      <c r="W141" s="341">
        <v>45660</v>
      </c>
      <c r="X141" s="341">
        <v>46022</v>
      </c>
      <c r="Y141" s="342">
        <f t="shared" ref="Y141:Y144" si="14">+X141-W141</f>
        <v>362</v>
      </c>
      <c r="Z141" s="339">
        <v>1500</v>
      </c>
      <c r="AA141" s="339" t="s">
        <v>352</v>
      </c>
      <c r="AB141" s="206" t="s">
        <v>360</v>
      </c>
      <c r="AC141" s="339" t="s">
        <v>425</v>
      </c>
      <c r="AD141" s="339" t="s">
        <v>426</v>
      </c>
      <c r="AE141" s="206" t="s">
        <v>351</v>
      </c>
      <c r="AF141" s="380" t="s">
        <v>658</v>
      </c>
      <c r="AG141" s="388">
        <v>85776000</v>
      </c>
      <c r="AH141" s="339" t="s">
        <v>54</v>
      </c>
      <c r="AI141" s="206" t="s">
        <v>49</v>
      </c>
      <c r="AJ141" s="206"/>
      <c r="AK141" s="206"/>
      <c r="AL141" s="345" t="s">
        <v>867</v>
      </c>
      <c r="AM141" s="606"/>
      <c r="AN141" s="606"/>
      <c r="AO141" s="606"/>
      <c r="AP141" s="675"/>
      <c r="AQ141" s="387"/>
      <c r="AR141" s="513"/>
      <c r="AS141" s="339" t="s">
        <v>269</v>
      </c>
      <c r="AT141" s="617"/>
      <c r="AU141" s="626"/>
      <c r="AV141" s="617"/>
      <c r="AW141" s="626"/>
      <c r="AX141" s="623"/>
      <c r="AY141" s="626"/>
      <c r="AZ141" s="623"/>
      <c r="BA141" s="626"/>
      <c r="BB141" s="606"/>
      <c r="BC141" s="626"/>
      <c r="BD141" s="606"/>
      <c r="BE141" s="626"/>
      <c r="BF141" s="339"/>
      <c r="BG141" s="339"/>
      <c r="BH141" s="339"/>
      <c r="BI141" s="339"/>
      <c r="BJ141" s="29" t="s">
        <v>926</v>
      </c>
      <c r="BK141" s="468"/>
    </row>
    <row r="142" spans="1:63" ht="25.8" customHeight="1">
      <c r="A142" s="29"/>
      <c r="B142" s="29"/>
      <c r="C142" s="334"/>
      <c r="D142" s="29"/>
      <c r="E142" s="663" t="s">
        <v>776</v>
      </c>
      <c r="F142" s="664"/>
      <c r="G142" s="664"/>
      <c r="H142" s="664"/>
      <c r="I142" s="664"/>
      <c r="J142" s="664"/>
      <c r="K142" s="664"/>
      <c r="L142" s="664"/>
      <c r="M142" s="664"/>
      <c r="N142" s="664"/>
      <c r="O142" s="664"/>
      <c r="P142" s="664"/>
      <c r="Q142" s="664"/>
      <c r="R142" s="665"/>
      <c r="S142" s="357"/>
      <c r="T142" s="357"/>
      <c r="U142" s="357"/>
      <c r="V142" s="286">
        <f>AVERAGE(V139:V141)</f>
        <v>1</v>
      </c>
      <c r="W142" s="341"/>
      <c r="X142" s="341"/>
      <c r="Y142" s="342"/>
      <c r="Z142" s="339"/>
      <c r="AA142" s="339"/>
      <c r="AB142" s="206"/>
      <c r="AC142" s="339"/>
      <c r="AD142" s="339"/>
      <c r="AE142" s="206"/>
      <c r="AF142" s="380"/>
      <c r="AG142" s="388"/>
      <c r="AH142" s="339"/>
      <c r="AI142" s="206"/>
      <c r="AJ142" s="206"/>
      <c r="AK142" s="206"/>
      <c r="AL142" s="206"/>
      <c r="AM142" s="359">
        <f>SUM(AM139)</f>
        <v>385776000</v>
      </c>
      <c r="AN142" s="359">
        <f>SUM(AN139)</f>
        <v>385776000</v>
      </c>
      <c r="AO142" s="359">
        <f t="shared" ref="AO142:AP142" si="15">SUM(AO139)</f>
        <v>385776000</v>
      </c>
      <c r="AP142" s="359">
        <f t="shared" si="15"/>
        <v>385776000</v>
      </c>
      <c r="AQ142" s="359">
        <f>SUM(AQ139)</f>
        <v>385776000</v>
      </c>
      <c r="AR142" s="356"/>
      <c r="AS142" s="339"/>
      <c r="AT142" s="339">
        <f>SUM(AT139)</f>
        <v>0</v>
      </c>
      <c r="AU142" s="363">
        <f>+AU139</f>
        <v>0</v>
      </c>
      <c r="AV142" s="339">
        <f>SUM(AV139)</f>
        <v>0</v>
      </c>
      <c r="AW142" s="363">
        <f>+AW139</f>
        <v>0</v>
      </c>
      <c r="AX142" s="373">
        <f>SUM(AX139)</f>
        <v>246796000</v>
      </c>
      <c r="AY142" s="365">
        <f>+AY139</f>
        <v>0.63973912322176596</v>
      </c>
      <c r="AZ142" s="399">
        <f>SUM(AZ139)</f>
        <v>246796000</v>
      </c>
      <c r="BA142" s="365">
        <f>+BA139</f>
        <v>0.63973912322176596</v>
      </c>
      <c r="BB142" s="399">
        <f>SUM(BB139)</f>
        <v>246796000</v>
      </c>
      <c r="BC142" s="365">
        <f>+BC139</f>
        <v>0.63973912322176596</v>
      </c>
      <c r="BD142" s="399">
        <f>SUM(BD139)</f>
        <v>246796000</v>
      </c>
      <c r="BE142" s="365">
        <f>+BE139</f>
        <v>0.63973912322176596</v>
      </c>
      <c r="BF142" s="472">
        <f>SUM(BF139:BF141)</f>
        <v>384721500</v>
      </c>
      <c r="BG142" s="434">
        <f>+BF142/AQ142</f>
        <v>0.99726654846335694</v>
      </c>
      <c r="BH142" s="472">
        <f>SUM(BH139:BH141)</f>
        <v>384721500</v>
      </c>
      <c r="BI142" s="434">
        <f>+BH142/AQ142</f>
        <v>0.99726654846335694</v>
      </c>
      <c r="BJ142" s="367"/>
    </row>
    <row r="143" spans="1:63" ht="25.8" customHeight="1">
      <c r="A143" s="29" t="s">
        <v>257</v>
      </c>
      <c r="B143" s="29" t="s">
        <v>228</v>
      </c>
      <c r="C143" s="334" t="s">
        <v>366</v>
      </c>
      <c r="D143" s="29" t="s">
        <v>227</v>
      </c>
      <c r="E143" s="389" t="s">
        <v>270</v>
      </c>
      <c r="F143" s="335">
        <v>2024130010149</v>
      </c>
      <c r="G143" s="389" t="s">
        <v>605</v>
      </c>
      <c r="H143" s="389" t="s">
        <v>606</v>
      </c>
      <c r="I143" s="389" t="s">
        <v>607</v>
      </c>
      <c r="J143" s="337">
        <v>1</v>
      </c>
      <c r="K143" s="379">
        <v>1</v>
      </c>
      <c r="L143" s="29" t="s">
        <v>659</v>
      </c>
      <c r="M143" s="206"/>
      <c r="N143" s="339" t="s">
        <v>642</v>
      </c>
      <c r="O143" s="339">
        <v>0</v>
      </c>
      <c r="P143" s="340">
        <v>1</v>
      </c>
      <c r="Q143" s="340">
        <v>0</v>
      </c>
      <c r="R143" s="337">
        <v>1</v>
      </c>
      <c r="S143" s="337">
        <v>0</v>
      </c>
      <c r="T143" s="435">
        <v>0</v>
      </c>
      <c r="U143" s="337">
        <f t="shared" si="13"/>
        <v>1</v>
      </c>
      <c r="V143" s="286">
        <f t="shared" ref="V143" si="16">+U143/P143</f>
        <v>1</v>
      </c>
      <c r="W143" s="341">
        <v>45660</v>
      </c>
      <c r="X143" s="341">
        <v>46022</v>
      </c>
      <c r="Y143" s="342">
        <f t="shared" ref="Y143" si="17">+X143-W143</f>
        <v>362</v>
      </c>
      <c r="Z143" s="206">
        <v>600</v>
      </c>
      <c r="AA143" s="206" t="s">
        <v>353</v>
      </c>
      <c r="AB143" s="206" t="s">
        <v>360</v>
      </c>
      <c r="AC143" s="339" t="s">
        <v>425</v>
      </c>
      <c r="AD143" s="339" t="s">
        <v>426</v>
      </c>
      <c r="AE143" s="206" t="s">
        <v>351</v>
      </c>
      <c r="AF143" s="380" t="s">
        <v>661</v>
      </c>
      <c r="AG143" s="344">
        <v>140000000</v>
      </c>
      <c r="AH143" s="339" t="s">
        <v>53</v>
      </c>
      <c r="AI143" s="206" t="s">
        <v>49</v>
      </c>
      <c r="AJ143" s="206"/>
      <c r="AK143" s="206"/>
      <c r="AL143" s="345" t="s">
        <v>867</v>
      </c>
      <c r="AM143" s="613">
        <v>160740000</v>
      </c>
      <c r="AN143" s="613">
        <v>160740000</v>
      </c>
      <c r="AO143" s="613">
        <v>160740000</v>
      </c>
      <c r="AP143" s="604">
        <v>160740000</v>
      </c>
      <c r="AQ143" s="604">
        <v>160740000</v>
      </c>
      <c r="AR143" s="512" t="s">
        <v>1053</v>
      </c>
      <c r="AS143" s="339" t="s">
        <v>270</v>
      </c>
      <c r="AT143" s="621">
        <v>0</v>
      </c>
      <c r="AU143" s="607">
        <v>0</v>
      </c>
      <c r="AV143" s="621">
        <v>0</v>
      </c>
      <c r="AW143" s="607">
        <v>0</v>
      </c>
      <c r="AX143" s="621">
        <v>157085000</v>
      </c>
      <c r="AY143" s="592">
        <f>+AX143/AO143</f>
        <v>0.97726141595122562</v>
      </c>
      <c r="AZ143" s="621">
        <v>157085000</v>
      </c>
      <c r="BA143" s="592">
        <f>+AZ143/AO143</f>
        <v>0.97726141595122562</v>
      </c>
      <c r="BB143" s="604">
        <v>157085000</v>
      </c>
      <c r="BC143" s="592">
        <f>+BB143/AP143</f>
        <v>0.97726141595122562</v>
      </c>
      <c r="BD143" s="604">
        <v>157085000</v>
      </c>
      <c r="BE143" s="592">
        <f>+BD143/AP143</f>
        <v>0.97726141595122562</v>
      </c>
      <c r="BF143" s="472">
        <v>157085000</v>
      </c>
      <c r="BG143" s="346"/>
      <c r="BH143" s="472">
        <v>157085000</v>
      </c>
      <c r="BI143" s="346"/>
      <c r="BJ143" s="390" t="s">
        <v>820</v>
      </c>
      <c r="BK143" s="677" t="s">
        <v>1050</v>
      </c>
    </row>
    <row r="144" spans="1:63" ht="25.8" customHeight="1">
      <c r="A144" s="29" t="s">
        <v>257</v>
      </c>
      <c r="B144" s="29" t="s">
        <v>228</v>
      </c>
      <c r="C144" s="334" t="s">
        <v>366</v>
      </c>
      <c r="D144" s="29" t="s">
        <v>227</v>
      </c>
      <c r="E144" s="389" t="s">
        <v>270</v>
      </c>
      <c r="F144" s="335">
        <v>2024130010149</v>
      </c>
      <c r="G144" s="389" t="s">
        <v>605</v>
      </c>
      <c r="H144" s="389" t="s">
        <v>606</v>
      </c>
      <c r="I144" s="389" t="s">
        <v>607</v>
      </c>
      <c r="J144" s="337">
        <v>1</v>
      </c>
      <c r="K144" s="379">
        <v>1</v>
      </c>
      <c r="L144" s="29" t="s">
        <v>660</v>
      </c>
      <c r="M144" s="206"/>
      <c r="N144" s="339" t="s">
        <v>642</v>
      </c>
      <c r="O144" s="339">
        <v>0</v>
      </c>
      <c r="P144" s="340">
        <v>1</v>
      </c>
      <c r="Q144" s="340">
        <v>0</v>
      </c>
      <c r="R144" s="337">
        <v>1</v>
      </c>
      <c r="S144" s="337">
        <v>0</v>
      </c>
      <c r="T144" s="435">
        <v>1</v>
      </c>
      <c r="U144" s="337">
        <f t="shared" si="13"/>
        <v>2</v>
      </c>
      <c r="V144" s="286">
        <v>1</v>
      </c>
      <c r="W144" s="341">
        <v>45660</v>
      </c>
      <c r="X144" s="341">
        <v>46022</v>
      </c>
      <c r="Y144" s="342">
        <f t="shared" si="14"/>
        <v>362</v>
      </c>
      <c r="Z144" s="206">
        <v>600</v>
      </c>
      <c r="AA144" s="206" t="s">
        <v>353</v>
      </c>
      <c r="AB144" s="206" t="s">
        <v>360</v>
      </c>
      <c r="AC144" s="339" t="s">
        <v>425</v>
      </c>
      <c r="AD144" s="339" t="s">
        <v>426</v>
      </c>
      <c r="AE144" s="206" t="s">
        <v>351</v>
      </c>
      <c r="AF144" s="380" t="s">
        <v>661</v>
      </c>
      <c r="AG144" s="344">
        <v>20740000</v>
      </c>
      <c r="AH144" s="339" t="s">
        <v>53</v>
      </c>
      <c r="AI144" s="206" t="s">
        <v>49</v>
      </c>
      <c r="AJ144" s="206"/>
      <c r="AK144" s="206"/>
      <c r="AL144" s="345" t="s">
        <v>867</v>
      </c>
      <c r="AM144" s="596"/>
      <c r="AN144" s="596"/>
      <c r="AO144" s="596"/>
      <c r="AP144" s="606"/>
      <c r="AQ144" s="606"/>
      <c r="AR144" s="513"/>
      <c r="AS144" s="346" t="s">
        <v>270</v>
      </c>
      <c r="AT144" s="623"/>
      <c r="AU144" s="609"/>
      <c r="AV144" s="623"/>
      <c r="AW144" s="609"/>
      <c r="AX144" s="623"/>
      <c r="AY144" s="594"/>
      <c r="AZ144" s="623"/>
      <c r="BA144" s="594"/>
      <c r="BB144" s="606"/>
      <c r="BC144" s="594"/>
      <c r="BD144" s="606"/>
      <c r="BE144" s="594"/>
      <c r="BF144" s="472"/>
      <c r="BG144" s="346"/>
      <c r="BH144" s="472"/>
      <c r="BI144" s="346"/>
      <c r="BJ144" s="390" t="s">
        <v>820</v>
      </c>
      <c r="BK144" s="679"/>
    </row>
    <row r="145" spans="5:62" ht="25.8" customHeight="1">
      <c r="E145" s="666" t="s">
        <v>777</v>
      </c>
      <c r="F145" s="666"/>
      <c r="G145" s="666"/>
      <c r="H145" s="666"/>
      <c r="I145" s="666"/>
      <c r="J145" s="666"/>
      <c r="K145" s="666"/>
      <c r="L145" s="666"/>
      <c r="M145" s="666"/>
      <c r="N145" s="666"/>
      <c r="O145" s="666"/>
      <c r="P145" s="666"/>
      <c r="Q145" s="666"/>
      <c r="R145" s="666"/>
      <c r="S145" s="391"/>
      <c r="T145" s="435">
        <v>1</v>
      </c>
      <c r="U145" s="391"/>
      <c r="V145" s="286">
        <f>AVERAGE(V143:V144)</f>
        <v>1</v>
      </c>
      <c r="AM145" s="382">
        <f>SUM(AM143)</f>
        <v>160740000</v>
      </c>
      <c r="AN145" s="382">
        <f>SUM(AN143)</f>
        <v>160740000</v>
      </c>
      <c r="AO145" s="382">
        <f>SUM(AO143)</f>
        <v>160740000</v>
      </c>
      <c r="AP145" s="382">
        <f>SUM(AP143)</f>
        <v>160740000</v>
      </c>
      <c r="AQ145" s="479">
        <f>SUM(AQ143:AQ144)</f>
        <v>160740000</v>
      </c>
      <c r="AR145" s="392"/>
      <c r="AS145" s="206"/>
      <c r="AT145" s="206">
        <f>SUM(AT143)</f>
        <v>0</v>
      </c>
      <c r="AU145" s="286">
        <f>+AU143</f>
        <v>0</v>
      </c>
      <c r="AV145" s="206">
        <f>SUM(AV143)</f>
        <v>0</v>
      </c>
      <c r="AW145" s="286">
        <f>+AW143</f>
        <v>0</v>
      </c>
      <c r="AX145" s="382">
        <f>SUM(AX143)</f>
        <v>157085000</v>
      </c>
      <c r="AY145" s="289">
        <f>+AY143</f>
        <v>0.97726141595122562</v>
      </c>
      <c r="AZ145" s="382">
        <f>SUM(AZ143)</f>
        <v>157085000</v>
      </c>
      <c r="BA145" s="289">
        <f>+BA143</f>
        <v>0.97726141595122562</v>
      </c>
      <c r="BB145" s="382">
        <f>SUM(BB143)</f>
        <v>157085000</v>
      </c>
      <c r="BC145" s="289">
        <f>+BC143</f>
        <v>0.97726141595122562</v>
      </c>
      <c r="BD145" s="382">
        <f>SUM(BD143)</f>
        <v>157085000</v>
      </c>
      <c r="BE145" s="289">
        <f>+BE143</f>
        <v>0.97726141595122562</v>
      </c>
      <c r="BF145" s="479">
        <f>SUM(BF143:BF144)</f>
        <v>157085000</v>
      </c>
      <c r="BG145" s="480">
        <f>+BF145/AQ145</f>
        <v>0.97726141595122562</v>
      </c>
      <c r="BH145" s="479">
        <f>SUM(BH143:BH144)</f>
        <v>157085000</v>
      </c>
      <c r="BI145" s="480">
        <f>+BH145/AQ145</f>
        <v>0.97726141595122562</v>
      </c>
      <c r="BJ145" s="367"/>
    </row>
    <row r="146" spans="5:62" ht="25.8" customHeight="1">
      <c r="E146" s="670" t="s">
        <v>1024</v>
      </c>
      <c r="F146" s="671"/>
      <c r="G146" s="671"/>
      <c r="H146" s="671"/>
      <c r="I146" s="671"/>
      <c r="J146" s="671"/>
      <c r="K146" s="671"/>
      <c r="L146" s="671"/>
      <c r="M146" s="671"/>
      <c r="N146" s="671"/>
      <c r="O146" s="671"/>
      <c r="P146" s="671"/>
      <c r="Q146" s="671"/>
      <c r="R146" s="672"/>
      <c r="S146" s="330"/>
      <c r="T146" s="330"/>
      <c r="U146" s="330"/>
      <c r="V146" s="289">
        <f>AVERAGE(V39,V47,V60,V74,V87,V100,V117,V132,V138,V142,V145)</f>
        <v>0.90944286437849875</v>
      </c>
      <c r="AG146" s="212"/>
      <c r="AM146" s="370">
        <f>SUM(AM39,AM47,AM60,AM74,AM87,AM100,AM117,AM132,AM138,AM142,AM145)</f>
        <v>35656023276</v>
      </c>
      <c r="AN146" s="370">
        <f>SUM(AN39,AN47,AN60,AN74,AN87,AN100,AN117,AN132,AN138,AN142,AN145)</f>
        <v>57682610982.709991</v>
      </c>
      <c r="AO146" s="370">
        <f>SUM(AO39,AO47,AO60,AO74,AO87,AO100,AO117,AO132,AO138,AO142,AO145)</f>
        <v>72998052638.339996</v>
      </c>
      <c r="AP146" s="370">
        <f>SUM(AP39,AP47,AP60,AP74,AP87,AP100,AP117,AP132,AP138,AP142,AP145)</f>
        <v>73203606580.339996</v>
      </c>
      <c r="AQ146" s="370">
        <f>SUM(AQ39,AQ47,AQ60,AQ74,AQ87,AQ100,AQ117,AQ132,AQ138,AQ142,AQ145)</f>
        <v>171247277487.33997</v>
      </c>
      <c r="AR146" s="392"/>
      <c r="AS146" s="508" t="s">
        <v>1027</v>
      </c>
      <c r="AT146" s="509">
        <f>SUM(AT39,AT47,AT60,AT74,AT87,AT100,AT117,AT132,AT138,AT142,AT145)</f>
        <v>6387170665</v>
      </c>
      <c r="AU146" s="510">
        <f>+AT146/AN146</f>
        <v>0.11072956920959273</v>
      </c>
      <c r="AV146" s="509">
        <f>SUM(AV39,AV47,AV60,AV74,AV87,AV100,AV117,AV132,AV138,AV142,AV145)</f>
        <v>6387170665</v>
      </c>
      <c r="AW146" s="510">
        <f>+AV146/AN146</f>
        <v>0.11072956920959273</v>
      </c>
      <c r="AX146" s="511">
        <f>SUM(AX39,AX47,AX60,AX74,AX87,AX100,AX117,AX132,AX138,AX142,AX145)</f>
        <v>34237559087.489998</v>
      </c>
      <c r="AY146" s="510">
        <f>+AX146/AO146</f>
        <v>0.46902017040256999</v>
      </c>
      <c r="AZ146" s="511">
        <f>SUM(AZ39,AZ47,AZ60,AZ74,AZ87,AZ100,AZ117,AZ132,AZ138,AZ142,AZ145)</f>
        <v>24751155286</v>
      </c>
      <c r="BA146" s="510">
        <f>+AZ146/AO146</f>
        <v>0.3390659667132026</v>
      </c>
      <c r="BB146" s="511">
        <f>SUM(BB39,BB47,BB60,BB74,BB87,BB100,BB117,BB132,BB138,BB142,BB145)</f>
        <v>52756658731.880005</v>
      </c>
      <c r="BC146" s="510">
        <f>+BB146/AP146</f>
        <v>0.72068387332774742</v>
      </c>
      <c r="BD146" s="511">
        <f>SUM(BD39,BD47,BD60,BD74,BD87,BD100,BD117,BD132,BD138,BD142,BD145)</f>
        <v>52756658731.880005</v>
      </c>
      <c r="BE146" s="510">
        <f>+BD146/AP146</f>
        <v>0.72068387332774742</v>
      </c>
      <c r="BF146" s="511">
        <f>SUM(BF39,BF47,BF60,BF74,BF87,BF100,BF117,BF132,BF138,BF142,BF145)</f>
        <v>162837505761.58997</v>
      </c>
      <c r="BG146" s="510">
        <f>+BF146/AQ146</f>
        <v>0.9508910632090386</v>
      </c>
      <c r="BH146" s="511">
        <f>SUM(BH39,BH47,BH60,BH74,BH87,BH100,BH117,BH132,BH138,BH142,BH145)</f>
        <v>66848305117.270012</v>
      </c>
      <c r="BI146" s="510">
        <f>+BH146/AQ146</f>
        <v>0.39036127229650119</v>
      </c>
      <c r="BJ146" s="393"/>
    </row>
    <row r="155" spans="5:62" ht="25.8" customHeight="1">
      <c r="AM155" s="212"/>
    </row>
  </sheetData>
  <mergeCells count="218">
    <mergeCell ref="BK75:BK78"/>
    <mergeCell ref="BK80:BK84"/>
    <mergeCell ref="BK88:BK99"/>
    <mergeCell ref="BK101:BK116"/>
    <mergeCell ref="BK118:BK131"/>
    <mergeCell ref="BK135:BK137"/>
    <mergeCell ref="BK143:BK144"/>
    <mergeCell ref="BK9:BK11"/>
    <mergeCell ref="BK14:BK38"/>
    <mergeCell ref="BK40:BK43"/>
    <mergeCell ref="BK44:BK46"/>
    <mergeCell ref="BK48:BK56"/>
    <mergeCell ref="BK57:BK59"/>
    <mergeCell ref="BK61:BK68"/>
    <mergeCell ref="BK69:BK71"/>
    <mergeCell ref="BK72:BK73"/>
    <mergeCell ref="E146:R146"/>
    <mergeCell ref="E142:R142"/>
    <mergeCell ref="AM143:AM144"/>
    <mergeCell ref="AM139:AM141"/>
    <mergeCell ref="AO143:AO144"/>
    <mergeCell ref="AX143:AX144"/>
    <mergeCell ref="E138:R138"/>
    <mergeCell ref="AO139:AO141"/>
    <mergeCell ref="AP139:AP141"/>
    <mergeCell ref="AP143:AP144"/>
    <mergeCell ref="AQ143:AQ144"/>
    <mergeCell ref="AP118:AP131"/>
    <mergeCell ref="AP133:AP137"/>
    <mergeCell ref="AP101:AP116"/>
    <mergeCell ref="BE133:BE137"/>
    <mergeCell ref="BC139:BC141"/>
    <mergeCell ref="BE139:BE141"/>
    <mergeCell ref="BC143:BC144"/>
    <mergeCell ref="BE143:BE144"/>
    <mergeCell ref="E145:R145"/>
    <mergeCell ref="BA143:BA144"/>
    <mergeCell ref="AZ143:AZ144"/>
    <mergeCell ref="AY143:AY144"/>
    <mergeCell ref="AN101:AN116"/>
    <mergeCell ref="AZ118:AZ131"/>
    <mergeCell ref="BA118:BA131"/>
    <mergeCell ref="AX133:AX137"/>
    <mergeCell ref="AY133:AY137"/>
    <mergeCell ref="AZ133:AZ137"/>
    <mergeCell ref="BA133:BA137"/>
    <mergeCell ref="AX139:AX141"/>
    <mergeCell ref="AY139:AY141"/>
    <mergeCell ref="AZ139:AZ141"/>
    <mergeCell ref="BA139:BA141"/>
    <mergeCell ref="AX118:AX131"/>
    <mergeCell ref="E132:R132"/>
    <mergeCell ref="AM133:AM137"/>
    <mergeCell ref="AM118:AM131"/>
    <mergeCell ref="AO118:AO131"/>
    <mergeCell ref="E117:R117"/>
    <mergeCell ref="E100:R100"/>
    <mergeCell ref="AM101:AM116"/>
    <mergeCell ref="AO75:AO86"/>
    <mergeCell ref="AO101:AO116"/>
    <mergeCell ref="AO133:AO137"/>
    <mergeCell ref="E60:R60"/>
    <mergeCell ref="AM61:AM73"/>
    <mergeCell ref="AN61:AN73"/>
    <mergeCell ref="AT61:AT73"/>
    <mergeCell ref="AU61:AU73"/>
    <mergeCell ref="AV61:AV73"/>
    <mergeCell ref="AM88:AM99"/>
    <mergeCell ref="AN88:AN99"/>
    <mergeCell ref="AO61:AO73"/>
    <mergeCell ref="AT75:AT86"/>
    <mergeCell ref="AU75:AU86"/>
    <mergeCell ref="AV75:AV86"/>
    <mergeCell ref="AP61:AP73"/>
    <mergeCell ref="AP75:AP86"/>
    <mergeCell ref="AP88:AP99"/>
    <mergeCell ref="E87:R87"/>
    <mergeCell ref="E74:R74"/>
    <mergeCell ref="AM75:AM86"/>
    <mergeCell ref="AN75:AN86"/>
    <mergeCell ref="AN40:AN46"/>
    <mergeCell ref="AV40:AV46"/>
    <mergeCell ref="AW40:AW46"/>
    <mergeCell ref="AT40:AT46"/>
    <mergeCell ref="AU40:AU46"/>
    <mergeCell ref="E47:R47"/>
    <mergeCell ref="AM48:AM59"/>
    <mergeCell ref="AN48:AN59"/>
    <mergeCell ref="AT48:AT59"/>
    <mergeCell ref="AU48:AU59"/>
    <mergeCell ref="AV48:AV59"/>
    <mergeCell ref="AW48:AW59"/>
    <mergeCell ref="AO40:AO46"/>
    <mergeCell ref="AP40:AP46"/>
    <mergeCell ref="AP48:AP59"/>
    <mergeCell ref="A5:BI5"/>
    <mergeCell ref="A6:AD7"/>
    <mergeCell ref="AE6:AJ7"/>
    <mergeCell ref="AM6:BI7"/>
    <mergeCell ref="AM9:AM38"/>
    <mergeCell ref="A1:B4"/>
    <mergeCell ref="C1:AR1"/>
    <mergeCell ref="AS1:BI1"/>
    <mergeCell ref="C2:AR2"/>
    <mergeCell ref="AS2:BI2"/>
    <mergeCell ref="C3:AR3"/>
    <mergeCell ref="AS3:BI3"/>
    <mergeCell ref="C4:AR4"/>
    <mergeCell ref="AS4:BI4"/>
    <mergeCell ref="AN9:AN38"/>
    <mergeCell ref="AT9:AT38"/>
    <mergeCell ref="AU9:AU38"/>
    <mergeCell ref="AV9:AV38"/>
    <mergeCell ref="AW9:AW38"/>
    <mergeCell ref="AO9:AO38"/>
    <mergeCell ref="AX9:AX38"/>
    <mergeCell ref="AY9:AY38"/>
    <mergeCell ref="AZ9:AZ38"/>
    <mergeCell ref="AP9:AP38"/>
    <mergeCell ref="E39:R39"/>
    <mergeCell ref="AM40:AM46"/>
    <mergeCell ref="AN118:AN131"/>
    <mergeCell ref="AT118:AT131"/>
    <mergeCell ref="AU118:AU131"/>
    <mergeCell ref="AV118:AV131"/>
    <mergeCell ref="AW118:AW131"/>
    <mergeCell ref="AN143:AN144"/>
    <mergeCell ref="AT143:AT144"/>
    <mergeCell ref="AU143:AU144"/>
    <mergeCell ref="AV143:AV144"/>
    <mergeCell ref="AW143:AW144"/>
    <mergeCell ref="AN139:AN141"/>
    <mergeCell ref="AT139:AT141"/>
    <mergeCell ref="AU139:AU141"/>
    <mergeCell ref="AV139:AV141"/>
    <mergeCell ref="AW139:AW141"/>
    <mergeCell ref="AN133:AN137"/>
    <mergeCell ref="AT133:AT137"/>
    <mergeCell ref="AU133:AU137"/>
    <mergeCell ref="AV133:AV137"/>
    <mergeCell ref="AW133:AW137"/>
    <mergeCell ref="AO48:AO59"/>
    <mergeCell ref="AO88:AO99"/>
    <mergeCell ref="AX40:AX46"/>
    <mergeCell ref="AZ40:AZ46"/>
    <mergeCell ref="AY40:AY46"/>
    <mergeCell ref="BA40:BA46"/>
    <mergeCell ref="AZ75:AZ86"/>
    <mergeCell ref="BA75:BA86"/>
    <mergeCell ref="AW75:AW86"/>
    <mergeCell ref="AX75:AX86"/>
    <mergeCell ref="AY75:AY86"/>
    <mergeCell ref="AX48:AX59"/>
    <mergeCell ref="AY48:AY59"/>
    <mergeCell ref="AZ48:AZ59"/>
    <mergeCell ref="BA48:BA59"/>
    <mergeCell ref="AX61:AX73"/>
    <mergeCell ref="AZ61:AZ73"/>
    <mergeCell ref="AY61:AY73"/>
    <mergeCell ref="BA61:BA73"/>
    <mergeCell ref="AW61:AW73"/>
    <mergeCell ref="AY118:AY131"/>
    <mergeCell ref="AX88:AX99"/>
    <mergeCell ref="AZ88:AZ99"/>
    <mergeCell ref="AY88:AY99"/>
    <mergeCell ref="AU88:AU99"/>
    <mergeCell ref="AV88:AV99"/>
    <mergeCell ref="AW88:AW99"/>
    <mergeCell ref="AT88:AT99"/>
    <mergeCell ref="AX101:AX116"/>
    <mergeCell ref="AY101:AY116"/>
    <mergeCell ref="AZ101:AZ116"/>
    <mergeCell ref="AT101:AT116"/>
    <mergeCell ref="AU101:AU116"/>
    <mergeCell ref="AV101:AV116"/>
    <mergeCell ref="AW101:AW116"/>
    <mergeCell ref="BA88:BA99"/>
    <mergeCell ref="BC88:BC99"/>
    <mergeCell ref="BB88:BB99"/>
    <mergeCell ref="BD88:BD99"/>
    <mergeCell ref="BE88:BE99"/>
    <mergeCell ref="BB101:BB116"/>
    <mergeCell ref="BD101:BD116"/>
    <mergeCell ref="BE101:BE116"/>
    <mergeCell ref="BB9:BB38"/>
    <mergeCell ref="BD9:BD38"/>
    <mergeCell ref="BB40:BB46"/>
    <mergeCell ref="BD40:BD46"/>
    <mergeCell ref="BB48:BB59"/>
    <mergeCell ref="BD48:BD59"/>
    <mergeCell ref="BB61:BB73"/>
    <mergeCell ref="BD61:BD73"/>
    <mergeCell ref="BA9:BA38"/>
    <mergeCell ref="BA101:BA116"/>
    <mergeCell ref="BB118:BB131"/>
    <mergeCell ref="BD118:BD131"/>
    <mergeCell ref="BB133:BB137"/>
    <mergeCell ref="BD133:BD137"/>
    <mergeCell ref="BB139:BB141"/>
    <mergeCell ref="BD139:BD141"/>
    <mergeCell ref="BB143:BB144"/>
    <mergeCell ref="BD143:BD144"/>
    <mergeCell ref="BC9:BC38"/>
    <mergeCell ref="BC101:BC116"/>
    <mergeCell ref="BC118:BC131"/>
    <mergeCell ref="BB75:BB86"/>
    <mergeCell ref="BD75:BD86"/>
    <mergeCell ref="BC133:BC137"/>
    <mergeCell ref="BE118:BE131"/>
    <mergeCell ref="BE9:BE38"/>
    <mergeCell ref="BC40:BC46"/>
    <mergeCell ref="BE40:BE46"/>
    <mergeCell ref="BC48:BC59"/>
    <mergeCell ref="BE48:BE59"/>
    <mergeCell ref="BC61:BC73"/>
    <mergeCell ref="BE61:BE73"/>
    <mergeCell ref="BC75:BC86"/>
    <mergeCell ref="BE75:BE86"/>
  </mergeCells>
  <dataValidations count="2">
    <dataValidation type="list" allowBlank="1" showInputMessage="1" showErrorMessage="1" sqref="M147:M232 M61:M73 M113:M116 M88:M99 M80:M86 M48:M59 M40:M46 L75:M76 M77:M78 L85:L86 L79:M79 M118:M131 M27:M38 M101:M111" xr:uid="{00000000-0002-0000-0400-000000000000}">
      <formula1>$BL$9:$BL$56</formula1>
    </dataValidation>
    <dataValidation type="list" allowBlank="1" showInputMessage="1" showErrorMessage="1" sqref="M12:M26 M143:M144 M139:M141 M133:M137 M9:M10" xr:uid="{00000000-0002-0000-0400-000001000000}">
      <formula1>$BM$9:$BM$14</formula1>
    </dataValidation>
  </dataValidations>
  <hyperlinks>
    <hyperlink ref="AL9" r:id="rId1" xr:uid="{00000000-0004-0000-0400-000000000000}"/>
    <hyperlink ref="AL10" r:id="rId2" xr:uid="{00000000-0004-0000-0400-000001000000}"/>
    <hyperlink ref="AL11" r:id="rId3" xr:uid="{00000000-0004-0000-0400-000002000000}"/>
    <hyperlink ref="AL12" r:id="rId4" xr:uid="{00000000-0004-0000-0400-000003000000}"/>
    <hyperlink ref="AL14" r:id="rId5" xr:uid="{00000000-0004-0000-0400-000004000000}"/>
    <hyperlink ref="AL15" r:id="rId6" xr:uid="{00000000-0004-0000-0400-000005000000}"/>
    <hyperlink ref="AL16" r:id="rId7" xr:uid="{00000000-0004-0000-0400-000006000000}"/>
    <hyperlink ref="AL17" r:id="rId8" xr:uid="{00000000-0004-0000-0400-000007000000}"/>
    <hyperlink ref="AL20" r:id="rId9" xr:uid="{00000000-0004-0000-0400-000008000000}"/>
    <hyperlink ref="AL21" r:id="rId10" xr:uid="{00000000-0004-0000-0400-000009000000}"/>
    <hyperlink ref="AL22" r:id="rId11" xr:uid="{00000000-0004-0000-0400-00000A000000}"/>
    <hyperlink ref="AL27" r:id="rId12" xr:uid="{00000000-0004-0000-0400-00000B000000}"/>
    <hyperlink ref="AL37" r:id="rId13" xr:uid="{00000000-0004-0000-0400-00000C000000}"/>
    <hyperlink ref="AL40" r:id="rId14" xr:uid="{00000000-0004-0000-0400-00000D000000}"/>
    <hyperlink ref="AL42" r:id="rId15" xr:uid="{00000000-0004-0000-0400-00000E000000}"/>
    <hyperlink ref="AL44" r:id="rId16" xr:uid="{00000000-0004-0000-0400-00000F000000}"/>
    <hyperlink ref="AL45" r:id="rId17" xr:uid="{00000000-0004-0000-0400-000010000000}"/>
    <hyperlink ref="AL46" r:id="rId18" xr:uid="{00000000-0004-0000-0400-000011000000}"/>
    <hyperlink ref="AL48" r:id="rId19" xr:uid="{00000000-0004-0000-0400-000012000000}"/>
    <hyperlink ref="AL49" r:id="rId20" xr:uid="{00000000-0004-0000-0400-000013000000}"/>
    <hyperlink ref="AL52" r:id="rId21" xr:uid="{00000000-0004-0000-0400-000014000000}"/>
    <hyperlink ref="AL54" r:id="rId22" xr:uid="{00000000-0004-0000-0400-000015000000}"/>
    <hyperlink ref="AL55" r:id="rId23" xr:uid="{00000000-0004-0000-0400-000016000000}"/>
    <hyperlink ref="AL57" r:id="rId24" xr:uid="{00000000-0004-0000-0400-000017000000}"/>
    <hyperlink ref="AL18" r:id="rId25" xr:uid="{00000000-0004-0000-0400-000018000000}"/>
    <hyperlink ref="AL62" r:id="rId26" xr:uid="{00000000-0004-0000-0400-000019000000}"/>
    <hyperlink ref="AL63" r:id="rId27" xr:uid="{00000000-0004-0000-0400-00001A000000}"/>
    <hyperlink ref="AL65" r:id="rId28" xr:uid="{00000000-0004-0000-0400-00001B000000}"/>
    <hyperlink ref="AL67" r:id="rId29" xr:uid="{00000000-0004-0000-0400-00001C000000}"/>
    <hyperlink ref="AL70" r:id="rId30" xr:uid="{00000000-0004-0000-0400-00001D000000}"/>
    <hyperlink ref="AL72" r:id="rId31" xr:uid="{00000000-0004-0000-0400-00001E000000}"/>
    <hyperlink ref="AL73" r:id="rId32" xr:uid="{00000000-0004-0000-0400-00001F000000}"/>
    <hyperlink ref="AL75" r:id="rId33" xr:uid="{00000000-0004-0000-0400-000020000000}"/>
    <hyperlink ref="AL77" r:id="rId34" xr:uid="{00000000-0004-0000-0400-000021000000}"/>
    <hyperlink ref="AL79" r:id="rId35" xr:uid="{00000000-0004-0000-0400-000022000000}"/>
    <hyperlink ref="AL80" r:id="rId36" xr:uid="{00000000-0004-0000-0400-000023000000}"/>
    <hyperlink ref="AL84" r:id="rId37" xr:uid="{00000000-0004-0000-0400-000024000000}"/>
    <hyperlink ref="AL85" r:id="rId38" xr:uid="{00000000-0004-0000-0400-000025000000}"/>
    <hyperlink ref="AL86" r:id="rId39" xr:uid="{00000000-0004-0000-0400-000026000000}"/>
    <hyperlink ref="AL88" r:id="rId40" xr:uid="{00000000-0004-0000-0400-000027000000}"/>
    <hyperlink ref="AL89" r:id="rId41" xr:uid="{00000000-0004-0000-0400-000028000000}"/>
    <hyperlink ref="AL90" r:id="rId42" xr:uid="{00000000-0004-0000-0400-000029000000}"/>
    <hyperlink ref="AL91" r:id="rId43" xr:uid="{00000000-0004-0000-0400-00002A000000}"/>
    <hyperlink ref="AL93" r:id="rId44" xr:uid="{00000000-0004-0000-0400-00002B000000}"/>
    <hyperlink ref="AL95" r:id="rId45" xr:uid="{00000000-0004-0000-0400-00002C000000}"/>
    <hyperlink ref="AL97" r:id="rId46" xr:uid="{00000000-0004-0000-0400-00002D000000}"/>
    <hyperlink ref="AL98" r:id="rId47" xr:uid="{00000000-0004-0000-0400-00002E000000}"/>
    <hyperlink ref="AL101" r:id="rId48" xr:uid="{00000000-0004-0000-0400-00002F000000}"/>
    <hyperlink ref="AL102" r:id="rId49" xr:uid="{00000000-0004-0000-0400-000030000000}"/>
    <hyperlink ref="AL103" r:id="rId50" xr:uid="{00000000-0004-0000-0400-000031000000}"/>
    <hyperlink ref="AL105" r:id="rId51" xr:uid="{00000000-0004-0000-0400-000032000000}"/>
    <hyperlink ref="AL106" r:id="rId52" xr:uid="{00000000-0004-0000-0400-000033000000}"/>
    <hyperlink ref="AL107" r:id="rId53" xr:uid="{00000000-0004-0000-0400-000034000000}"/>
    <hyperlink ref="AL108" r:id="rId54" xr:uid="{00000000-0004-0000-0400-000035000000}"/>
    <hyperlink ref="AL109" r:id="rId55" xr:uid="{00000000-0004-0000-0400-000036000000}"/>
    <hyperlink ref="AL110" r:id="rId56" xr:uid="{00000000-0004-0000-0400-000037000000}"/>
    <hyperlink ref="AL111" r:id="rId57" xr:uid="{00000000-0004-0000-0400-000038000000}"/>
    <hyperlink ref="AL112" r:id="rId58" xr:uid="{00000000-0004-0000-0400-000039000000}"/>
    <hyperlink ref="AL113" r:id="rId59" xr:uid="{00000000-0004-0000-0400-00003A000000}"/>
    <hyperlink ref="AL116" r:id="rId60" xr:uid="{00000000-0004-0000-0400-00003B000000}"/>
    <hyperlink ref="AL118" r:id="rId61" xr:uid="{00000000-0004-0000-0400-00003C000000}"/>
    <hyperlink ref="AL122" r:id="rId62" xr:uid="{00000000-0004-0000-0400-00003D000000}"/>
    <hyperlink ref="AL124" r:id="rId63" xr:uid="{00000000-0004-0000-0400-00003E000000}"/>
    <hyperlink ref="AL125" r:id="rId64" xr:uid="{00000000-0004-0000-0400-00003F000000}"/>
    <hyperlink ref="AL126" r:id="rId65" xr:uid="{00000000-0004-0000-0400-000040000000}"/>
    <hyperlink ref="AL130" r:id="rId66" xr:uid="{00000000-0004-0000-0400-000041000000}"/>
    <hyperlink ref="AL133" r:id="rId67" xr:uid="{00000000-0004-0000-0400-000042000000}"/>
    <hyperlink ref="AL134" r:id="rId68" xr:uid="{00000000-0004-0000-0400-000043000000}"/>
    <hyperlink ref="AL135" r:id="rId69" xr:uid="{00000000-0004-0000-0400-000044000000}"/>
    <hyperlink ref="AL136" r:id="rId70" xr:uid="{00000000-0004-0000-0400-000045000000}"/>
    <hyperlink ref="AL137" r:id="rId71" xr:uid="{00000000-0004-0000-0400-000046000000}"/>
    <hyperlink ref="AL139" r:id="rId72" xr:uid="{00000000-0004-0000-0400-000047000000}"/>
    <hyperlink ref="AL140" r:id="rId73" xr:uid="{00000000-0004-0000-0400-000048000000}"/>
    <hyperlink ref="AL141" r:id="rId74" xr:uid="{00000000-0004-0000-0400-000049000000}"/>
    <hyperlink ref="AL143" r:id="rId75" xr:uid="{00000000-0004-0000-0400-00004A000000}"/>
    <hyperlink ref="AL144" r:id="rId76" xr:uid="{00000000-0004-0000-0400-00004B000000}"/>
    <hyperlink ref="AL76" r:id="rId77" xr:uid="{00000000-0004-0000-0400-00004C000000}"/>
    <hyperlink ref="AL69" r:id="rId78" xr:uid="{00000000-0004-0000-0400-00004D000000}"/>
  </hyperlinks>
  <pageMargins left="0.7" right="0.7" top="0.75" bottom="0.75" header="0.3" footer="0.3"/>
  <pageSetup paperSize="9" orientation="portrait" horizontalDpi="360" verticalDpi="360" r:id="rId79"/>
  <drawing r:id="rId80"/>
  <legacyDrawing r:id="rId8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3"/>
  <sheetViews>
    <sheetView workbookViewId="0"/>
  </sheetViews>
  <sheetFormatPr baseColWidth="10" defaultColWidth="10.88671875" defaultRowHeight="14.4"/>
  <cols>
    <col min="1" max="1" width="20.77734375" customWidth="1"/>
    <col min="2" max="2" width="25" customWidth="1"/>
    <col min="3" max="3" width="19.77734375" customWidth="1"/>
    <col min="4" max="4" width="20.21875" customWidth="1"/>
    <col min="5" max="6" width="22.88671875" customWidth="1"/>
    <col min="7" max="7" width="25.21875" customWidth="1"/>
  </cols>
  <sheetData>
    <row r="1" spans="1:7" ht="15" thickBot="1"/>
    <row r="2" spans="1:7">
      <c r="A2" s="685" t="s">
        <v>36</v>
      </c>
      <c r="B2" s="686"/>
      <c r="C2" s="686"/>
      <c r="D2" s="686"/>
      <c r="E2" s="686"/>
      <c r="F2" s="686"/>
      <c r="G2" s="687"/>
    </row>
    <row r="3" spans="1:7" s="4" customFormat="1">
      <c r="A3" s="20" t="s">
        <v>37</v>
      </c>
      <c r="B3" s="688" t="s">
        <v>38</v>
      </c>
      <c r="C3" s="688"/>
      <c r="D3" s="688"/>
      <c r="E3" s="688"/>
      <c r="F3" s="688"/>
      <c r="G3" s="22" t="s">
        <v>39</v>
      </c>
    </row>
    <row r="4" spans="1:7">
      <c r="A4" s="23">
        <v>45489</v>
      </c>
      <c r="B4" s="689" t="s">
        <v>191</v>
      </c>
      <c r="C4" s="689"/>
      <c r="D4" s="689"/>
      <c r="E4" s="689"/>
      <c r="F4" s="689"/>
      <c r="G4" s="24" t="s">
        <v>192</v>
      </c>
    </row>
    <row r="5" spans="1:7">
      <c r="A5" s="25"/>
      <c r="B5" s="689"/>
      <c r="C5" s="689"/>
      <c r="D5" s="689"/>
      <c r="E5" s="689"/>
      <c r="F5" s="689"/>
      <c r="G5" s="24"/>
    </row>
    <row r="6" spans="1:7">
      <c r="A6" s="25"/>
      <c r="B6" s="684"/>
      <c r="C6" s="684"/>
      <c r="D6" s="684"/>
      <c r="E6" s="684"/>
      <c r="F6" s="684"/>
      <c r="G6" s="27"/>
    </row>
    <row r="7" spans="1:7">
      <c r="A7" s="25"/>
      <c r="B7" s="684"/>
      <c r="C7" s="684"/>
      <c r="D7" s="684"/>
      <c r="E7" s="684"/>
      <c r="F7" s="684"/>
      <c r="G7" s="27"/>
    </row>
    <row r="8" spans="1:7">
      <c r="A8" s="25"/>
      <c r="B8" s="26"/>
      <c r="C8" s="26"/>
      <c r="D8" s="26"/>
      <c r="E8" s="26"/>
      <c r="F8" s="26"/>
      <c r="G8" s="27"/>
    </row>
    <row r="9" spans="1:7">
      <c r="A9" s="691" t="s">
        <v>193</v>
      </c>
      <c r="B9" s="692"/>
      <c r="C9" s="692"/>
      <c r="D9" s="692"/>
      <c r="E9" s="692"/>
      <c r="F9" s="692"/>
      <c r="G9" s="693"/>
    </row>
    <row r="10" spans="1:7" s="4" customFormat="1">
      <c r="A10" s="21"/>
      <c r="B10" s="688" t="s">
        <v>40</v>
      </c>
      <c r="C10" s="688"/>
      <c r="D10" s="688" t="s">
        <v>41</v>
      </c>
      <c r="E10" s="688"/>
      <c r="F10" s="21" t="s">
        <v>37</v>
      </c>
      <c r="G10" s="21" t="s">
        <v>42</v>
      </c>
    </row>
    <row r="11" spans="1:7">
      <c r="A11" s="28" t="s">
        <v>43</v>
      </c>
      <c r="B11" s="689" t="s">
        <v>44</v>
      </c>
      <c r="C11" s="689"/>
      <c r="D11" s="690" t="s">
        <v>45</v>
      </c>
      <c r="E11" s="690"/>
      <c r="F11" s="25" t="s">
        <v>57</v>
      </c>
      <c r="G11" s="27"/>
    </row>
    <row r="12" spans="1:7">
      <c r="A12" s="28" t="s">
        <v>46</v>
      </c>
      <c r="B12" s="690" t="s">
        <v>47</v>
      </c>
      <c r="C12" s="690"/>
      <c r="D12" s="690" t="s">
        <v>58</v>
      </c>
      <c r="E12" s="690"/>
      <c r="F12" s="25" t="s">
        <v>57</v>
      </c>
      <c r="G12" s="27"/>
    </row>
    <row r="13" spans="1:7">
      <c r="A13" s="28" t="s">
        <v>48</v>
      </c>
      <c r="B13" s="690" t="s">
        <v>47</v>
      </c>
      <c r="C13" s="690"/>
      <c r="D13" s="690" t="s">
        <v>58</v>
      </c>
      <c r="E13" s="690"/>
      <c r="F13" s="25" t="s">
        <v>57</v>
      </c>
      <c r="G13" s="27"/>
    </row>
  </sheetData>
  <mergeCells count="15">
    <mergeCell ref="B13:C13"/>
    <mergeCell ref="D13:E13"/>
    <mergeCell ref="A9:G9"/>
    <mergeCell ref="B10:C10"/>
    <mergeCell ref="D10:E10"/>
    <mergeCell ref="B11:C11"/>
    <mergeCell ref="D11:E11"/>
    <mergeCell ref="B12:C12"/>
    <mergeCell ref="D12:E12"/>
    <mergeCell ref="B7:F7"/>
    <mergeCell ref="A2:G2"/>
    <mergeCell ref="B3:F3"/>
    <mergeCell ref="B4:F4"/>
    <mergeCell ref="B5:F5"/>
    <mergeCell ref="B6:F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workbookViewId="0">
      <selection activeCell="G17" sqref="G17"/>
    </sheetView>
  </sheetViews>
  <sheetFormatPr baseColWidth="10" defaultColWidth="10.88671875" defaultRowHeight="14.4"/>
  <cols>
    <col min="1" max="1" width="55.21875" customWidth="1"/>
    <col min="5" max="5" width="20.109375" customWidth="1"/>
    <col min="6" max="6" width="34.77734375" customWidth="1"/>
  </cols>
  <sheetData>
    <row r="1" spans="1:6" ht="52.5" customHeight="1">
      <c r="A1" s="300" t="s">
        <v>890</v>
      </c>
      <c r="E1" s="301" t="s">
        <v>891</v>
      </c>
      <c r="F1" s="301" t="s">
        <v>892</v>
      </c>
    </row>
    <row r="2" spans="1:6">
      <c r="A2" s="302" t="s">
        <v>893</v>
      </c>
      <c r="E2" s="303">
        <v>0</v>
      </c>
      <c r="F2" s="304" t="s">
        <v>49</v>
      </c>
    </row>
    <row r="3" spans="1:6">
      <c r="A3" s="302" t="s">
        <v>50</v>
      </c>
      <c r="E3" s="303">
        <v>1</v>
      </c>
      <c r="F3" s="304" t="s">
        <v>894</v>
      </c>
    </row>
    <row r="4" spans="1:6">
      <c r="A4" s="302" t="s">
        <v>895</v>
      </c>
      <c r="E4" s="303">
        <v>2</v>
      </c>
      <c r="F4" s="304" t="s">
        <v>896</v>
      </c>
    </row>
    <row r="5" spans="1:6">
      <c r="A5" s="302" t="s">
        <v>897</v>
      </c>
      <c r="E5" s="303">
        <v>3</v>
      </c>
      <c r="F5" s="304" t="s">
        <v>898</v>
      </c>
    </row>
    <row r="6" spans="1:6">
      <c r="A6" s="302" t="s">
        <v>899</v>
      </c>
      <c r="E6" s="303">
        <v>4</v>
      </c>
      <c r="F6" s="304" t="s">
        <v>51</v>
      </c>
    </row>
    <row r="7" spans="1:6">
      <c r="A7" s="302" t="s">
        <v>900</v>
      </c>
      <c r="E7" s="303">
        <v>5</v>
      </c>
      <c r="F7" s="304" t="s">
        <v>901</v>
      </c>
    </row>
    <row r="8" spans="1:6">
      <c r="A8" s="302" t="s">
        <v>52</v>
      </c>
    </row>
    <row r="9" spans="1:6" ht="25.2">
      <c r="A9" s="302" t="s">
        <v>902</v>
      </c>
    </row>
    <row r="10" spans="1:6">
      <c r="A10" s="302" t="s">
        <v>903</v>
      </c>
    </row>
    <row r="11" spans="1:6">
      <c r="A11" s="302" t="s">
        <v>904</v>
      </c>
    </row>
    <row r="12" spans="1:6" ht="25.2">
      <c r="A12" s="302" t="s">
        <v>905</v>
      </c>
    </row>
    <row r="13" spans="1:6" ht="25.2">
      <c r="A13" s="302" t="s">
        <v>906</v>
      </c>
    </row>
    <row r="14" spans="1:6">
      <c r="A14" s="302" t="s">
        <v>53</v>
      </c>
    </row>
    <row r="15" spans="1:6" ht="25.2">
      <c r="A15" s="302" t="s">
        <v>907</v>
      </c>
    </row>
    <row r="16" spans="1:6" ht="25.2">
      <c r="A16" s="302" t="s">
        <v>908</v>
      </c>
    </row>
    <row r="17" spans="1:1" ht="25.2">
      <c r="A17" s="302" t="s">
        <v>909</v>
      </c>
    </row>
    <row r="18" spans="1:1" ht="25.2">
      <c r="A18" s="302" t="s">
        <v>54</v>
      </c>
    </row>
    <row r="19" spans="1:1" ht="25.2">
      <c r="A19" s="302" t="s">
        <v>910</v>
      </c>
    </row>
    <row r="20" spans="1:1">
      <c r="A20" s="302" t="s">
        <v>55</v>
      </c>
    </row>
    <row r="21" spans="1:1">
      <c r="A21" s="302" t="s">
        <v>56</v>
      </c>
    </row>
    <row r="22" spans="1:1" ht="45" customHeight="1"/>
    <row r="23" spans="1:1" ht="45" customHeight="1"/>
    <row r="24" spans="1:1" ht="45" customHeight="1"/>
    <row r="25" spans="1:1" ht="45" customHeigh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6"/>
  <sheetViews>
    <sheetView topLeftCell="S11" zoomScale="70" zoomScaleNormal="70" workbookViewId="0">
      <selection activeCell="M8" sqref="M8"/>
    </sheetView>
  </sheetViews>
  <sheetFormatPr baseColWidth="10" defaultColWidth="11" defaultRowHeight="10.8"/>
  <cols>
    <col min="1" max="1" width="20.88671875" style="117" customWidth="1"/>
    <col min="2" max="2" width="30.77734375" style="117" customWidth="1"/>
    <col min="3" max="3" width="33.77734375" style="117" customWidth="1"/>
    <col min="4" max="4" width="32" style="117" customWidth="1"/>
    <col min="5" max="6" width="28.77734375" style="117" customWidth="1"/>
    <col min="7" max="7" width="41.33203125" style="117" customWidth="1"/>
    <col min="8" max="8" width="45.6640625" style="117" customWidth="1"/>
    <col min="9" max="9" width="48.6640625" style="117" customWidth="1"/>
    <col min="10" max="10" width="48.77734375" style="117" customWidth="1"/>
    <col min="11" max="11" width="38.88671875" style="117" customWidth="1"/>
    <col min="12" max="12" width="45.88671875" style="117" customWidth="1"/>
    <col min="13" max="13" width="57.77734375" style="117" customWidth="1"/>
    <col min="14" max="14" width="65.77734375" style="117" customWidth="1"/>
    <col min="15" max="16" width="11" style="117"/>
    <col min="17" max="17" width="0" style="117" hidden="1" customWidth="1"/>
    <col min="18" max="16384" width="11" style="117"/>
  </cols>
  <sheetData>
    <row r="1" spans="1:17" s="1" customFormat="1" ht="14.4">
      <c r="A1" s="579"/>
      <c r="B1" s="580"/>
      <c r="C1" s="585" t="s">
        <v>0</v>
      </c>
      <c r="D1" s="586"/>
      <c r="E1" s="586"/>
      <c r="F1" s="586"/>
      <c r="G1" s="586"/>
      <c r="H1" s="586"/>
      <c r="I1" s="586"/>
      <c r="J1" s="586"/>
      <c r="K1" s="586"/>
      <c r="L1" s="586"/>
      <c r="M1" s="587"/>
      <c r="N1" s="118" t="s">
        <v>188</v>
      </c>
    </row>
    <row r="2" spans="1:17" s="1" customFormat="1" ht="14.4">
      <c r="A2" s="581"/>
      <c r="B2" s="582"/>
      <c r="C2" s="585" t="s">
        <v>1</v>
      </c>
      <c r="D2" s="586"/>
      <c r="E2" s="586"/>
      <c r="F2" s="586"/>
      <c r="G2" s="586"/>
      <c r="H2" s="586"/>
      <c r="I2" s="586"/>
      <c r="J2" s="586"/>
      <c r="K2" s="586"/>
      <c r="L2" s="586"/>
      <c r="M2" s="587"/>
      <c r="N2" s="118" t="s">
        <v>2</v>
      </c>
    </row>
    <row r="3" spans="1:17" s="1" customFormat="1" ht="14.4">
      <c r="A3" s="581"/>
      <c r="B3" s="582"/>
      <c r="C3" s="585" t="s">
        <v>3</v>
      </c>
      <c r="D3" s="586"/>
      <c r="E3" s="586"/>
      <c r="F3" s="586"/>
      <c r="G3" s="586"/>
      <c r="H3" s="586"/>
      <c r="I3" s="586"/>
      <c r="J3" s="586"/>
      <c r="K3" s="586"/>
      <c r="L3" s="586"/>
      <c r="M3" s="587"/>
      <c r="N3" s="118" t="s">
        <v>187</v>
      </c>
    </row>
    <row r="4" spans="1:17" s="1" customFormat="1" ht="14.4">
      <c r="A4" s="583"/>
      <c r="B4" s="584"/>
      <c r="C4" s="585" t="s">
        <v>136</v>
      </c>
      <c r="D4" s="586"/>
      <c r="E4" s="586"/>
      <c r="F4" s="586"/>
      <c r="G4" s="586"/>
      <c r="H4" s="586"/>
      <c r="I4" s="586"/>
      <c r="J4" s="586"/>
      <c r="K4" s="586"/>
      <c r="L4" s="586"/>
      <c r="M4" s="587"/>
      <c r="N4" s="118" t="s">
        <v>189</v>
      </c>
    </row>
    <row r="5" spans="1:17" s="1" customFormat="1" ht="14.4">
      <c r="A5" s="588" t="s">
        <v>4</v>
      </c>
      <c r="B5" s="589"/>
      <c r="C5" s="588"/>
      <c r="D5" s="590"/>
      <c r="E5" s="590"/>
      <c r="F5" s="590"/>
      <c r="G5" s="590"/>
      <c r="H5" s="590"/>
      <c r="I5" s="590"/>
      <c r="J5" s="590"/>
      <c r="K5" s="590"/>
      <c r="L5" s="590"/>
      <c r="M5" s="590"/>
      <c r="N5" s="590"/>
    </row>
    <row r="6" spans="1:17" s="1" customFormat="1" ht="14.4">
      <c r="A6" s="571" t="s">
        <v>132</v>
      </c>
      <c r="B6" s="571"/>
      <c r="C6" s="571"/>
      <c r="D6" s="571"/>
      <c r="E6" s="571"/>
      <c r="F6" s="571"/>
      <c r="G6" s="571"/>
      <c r="H6" s="571"/>
      <c r="I6" s="571"/>
      <c r="J6" s="571"/>
      <c r="K6" s="571"/>
      <c r="L6" s="572"/>
      <c r="M6" s="575" t="s">
        <v>73</v>
      </c>
      <c r="N6" s="576"/>
    </row>
    <row r="7" spans="1:17" s="1" customFormat="1" ht="14.4">
      <c r="A7" s="573"/>
      <c r="B7" s="573"/>
      <c r="C7" s="573"/>
      <c r="D7" s="573"/>
      <c r="E7" s="573"/>
      <c r="F7" s="573"/>
      <c r="G7" s="573"/>
      <c r="H7" s="573"/>
      <c r="I7" s="573"/>
      <c r="J7" s="573"/>
      <c r="K7" s="573"/>
      <c r="L7" s="574"/>
      <c r="M7" s="577"/>
      <c r="N7" s="578"/>
    </row>
    <row r="8" spans="1:17" s="16" customFormat="1" ht="27.6">
      <c r="A8" s="119" t="s">
        <v>77</v>
      </c>
      <c r="B8" s="119" t="s">
        <v>165</v>
      </c>
      <c r="C8" s="119" t="s">
        <v>148</v>
      </c>
      <c r="D8" s="119" t="s">
        <v>63</v>
      </c>
      <c r="E8" s="119" t="s">
        <v>64</v>
      </c>
      <c r="F8" s="119" t="s">
        <v>65</v>
      </c>
      <c r="G8" s="119" t="s">
        <v>143</v>
      </c>
      <c r="H8" s="119" t="s">
        <v>145</v>
      </c>
      <c r="I8" s="119" t="s">
        <v>144</v>
      </c>
      <c r="J8" s="119" t="s">
        <v>135</v>
      </c>
      <c r="K8" s="119" t="s">
        <v>74</v>
      </c>
      <c r="L8" s="119" t="s">
        <v>66</v>
      </c>
      <c r="M8" s="119" t="s">
        <v>25</v>
      </c>
      <c r="N8" s="119" t="s">
        <v>26</v>
      </c>
    </row>
    <row r="9" spans="1:17" s="201" customFormat="1" ht="165">
      <c r="A9" s="29" t="s">
        <v>255</v>
      </c>
      <c r="B9" s="195" t="s">
        <v>335</v>
      </c>
      <c r="C9" s="195" t="s">
        <v>337</v>
      </c>
      <c r="D9" s="196" t="s">
        <v>498</v>
      </c>
      <c r="E9" s="197" t="s">
        <v>499</v>
      </c>
      <c r="F9" s="196" t="s">
        <v>500</v>
      </c>
      <c r="G9" s="198" t="s">
        <v>514</v>
      </c>
      <c r="H9" s="199" t="s">
        <v>515</v>
      </c>
      <c r="I9" s="200" t="s">
        <v>503</v>
      </c>
      <c r="J9" s="200" t="s">
        <v>504</v>
      </c>
      <c r="K9" s="196" t="s">
        <v>338</v>
      </c>
      <c r="L9" s="196" t="s">
        <v>591</v>
      </c>
      <c r="M9" s="196" t="s">
        <v>505</v>
      </c>
      <c r="N9" s="196" t="s">
        <v>506</v>
      </c>
    </row>
    <row r="10" spans="1:17" s="201" customFormat="1" ht="165">
      <c r="A10" s="29" t="s">
        <v>255</v>
      </c>
      <c r="B10" s="195" t="s">
        <v>335</v>
      </c>
      <c r="C10" s="195" t="s">
        <v>337</v>
      </c>
      <c r="D10" s="196" t="s">
        <v>498</v>
      </c>
      <c r="E10" s="197" t="s">
        <v>499</v>
      </c>
      <c r="F10" s="196" t="s">
        <v>500</v>
      </c>
      <c r="G10" s="198" t="s">
        <v>514</v>
      </c>
      <c r="H10" s="199" t="s">
        <v>515</v>
      </c>
      <c r="I10" s="200" t="s">
        <v>503</v>
      </c>
      <c r="J10" s="200" t="s">
        <v>504</v>
      </c>
      <c r="K10" s="196" t="s">
        <v>338</v>
      </c>
      <c r="L10" s="196" t="s">
        <v>591</v>
      </c>
      <c r="M10" s="196" t="s">
        <v>507</v>
      </c>
      <c r="N10" s="196" t="s">
        <v>508</v>
      </c>
    </row>
    <row r="11" spans="1:17" s="201" customFormat="1" ht="165">
      <c r="A11" s="29" t="s">
        <v>255</v>
      </c>
      <c r="B11" s="195" t="s">
        <v>335</v>
      </c>
      <c r="C11" s="195" t="s">
        <v>337</v>
      </c>
      <c r="D11" s="196" t="s">
        <v>498</v>
      </c>
      <c r="E11" s="197" t="s">
        <v>499</v>
      </c>
      <c r="F11" s="196" t="s">
        <v>500</v>
      </c>
      <c r="G11" s="198" t="s">
        <v>514</v>
      </c>
      <c r="H11" s="199" t="s">
        <v>515</v>
      </c>
      <c r="I11" s="200" t="s">
        <v>503</v>
      </c>
      <c r="J11" s="197" t="s">
        <v>504</v>
      </c>
      <c r="K11" s="196" t="s">
        <v>338</v>
      </c>
      <c r="L11" s="196" t="s">
        <v>591</v>
      </c>
      <c r="M11" s="196" t="s">
        <v>511</v>
      </c>
      <c r="N11" s="196" t="s">
        <v>512</v>
      </c>
      <c r="Q11" s="201" t="s">
        <v>67</v>
      </c>
    </row>
    <row r="12" spans="1:17" s="201" customFormat="1" ht="165">
      <c r="A12" s="29" t="s">
        <v>255</v>
      </c>
      <c r="B12" s="195" t="s">
        <v>335</v>
      </c>
      <c r="C12" s="195" t="s">
        <v>337</v>
      </c>
      <c r="D12" s="196" t="s">
        <v>498</v>
      </c>
      <c r="E12" s="197" t="s">
        <v>499</v>
      </c>
      <c r="F12" s="196" t="s">
        <v>500</v>
      </c>
      <c r="G12" s="198" t="s">
        <v>514</v>
      </c>
      <c r="H12" s="199" t="s">
        <v>515</v>
      </c>
      <c r="I12" s="200" t="s">
        <v>503</v>
      </c>
      <c r="J12" s="197" t="s">
        <v>504</v>
      </c>
      <c r="K12" s="196" t="s">
        <v>338</v>
      </c>
      <c r="L12" s="196" t="s">
        <v>591</v>
      </c>
      <c r="M12" s="196" t="s">
        <v>592</v>
      </c>
      <c r="N12" s="196" t="s">
        <v>513</v>
      </c>
    </row>
    <row r="13" spans="1:17" s="201" customFormat="1" ht="165">
      <c r="A13" s="29" t="s">
        <v>255</v>
      </c>
      <c r="B13" s="195" t="s">
        <v>335</v>
      </c>
      <c r="C13" s="195" t="s">
        <v>337</v>
      </c>
      <c r="D13" s="196" t="s">
        <v>498</v>
      </c>
      <c r="E13" s="197" t="s">
        <v>499</v>
      </c>
      <c r="F13" s="196" t="s">
        <v>500</v>
      </c>
      <c r="G13" s="198" t="s">
        <v>509</v>
      </c>
      <c r="H13" s="198" t="s">
        <v>510</v>
      </c>
      <c r="I13" s="200" t="s">
        <v>503</v>
      </c>
      <c r="J13" s="200" t="s">
        <v>504</v>
      </c>
      <c r="K13" s="196" t="s">
        <v>338</v>
      </c>
      <c r="L13" s="196" t="s">
        <v>591</v>
      </c>
      <c r="M13" s="196" t="s">
        <v>516</v>
      </c>
      <c r="N13" s="196" t="s">
        <v>517</v>
      </c>
      <c r="Q13" s="201" t="s">
        <v>68</v>
      </c>
    </row>
    <row r="14" spans="1:17" s="201" customFormat="1" ht="165">
      <c r="A14" s="29" t="s">
        <v>255</v>
      </c>
      <c r="B14" s="195" t="s">
        <v>335</v>
      </c>
      <c r="C14" s="195" t="s">
        <v>337</v>
      </c>
      <c r="D14" s="196" t="s">
        <v>498</v>
      </c>
      <c r="E14" s="197" t="s">
        <v>499</v>
      </c>
      <c r="F14" s="196" t="s">
        <v>500</v>
      </c>
      <c r="G14" s="198" t="s">
        <v>509</v>
      </c>
      <c r="H14" s="198" t="s">
        <v>510</v>
      </c>
      <c r="I14" s="200" t="s">
        <v>503</v>
      </c>
      <c r="J14" s="200" t="s">
        <v>504</v>
      </c>
      <c r="K14" s="196" t="s">
        <v>338</v>
      </c>
      <c r="L14" s="196" t="s">
        <v>591</v>
      </c>
      <c r="M14" s="202" t="s">
        <v>518</v>
      </c>
      <c r="N14" s="196" t="s">
        <v>519</v>
      </c>
    </row>
    <row r="15" spans="1:17" s="201" customFormat="1" ht="165">
      <c r="A15" s="29" t="s">
        <v>256</v>
      </c>
      <c r="B15" s="195" t="s">
        <v>335</v>
      </c>
      <c r="C15" s="195" t="s">
        <v>337</v>
      </c>
      <c r="D15" s="196" t="s">
        <v>498</v>
      </c>
      <c r="E15" s="197" t="s">
        <v>499</v>
      </c>
      <c r="F15" s="196" t="s">
        <v>500</v>
      </c>
      <c r="G15" s="199" t="s">
        <v>501</v>
      </c>
      <c r="H15" s="198" t="s">
        <v>502</v>
      </c>
      <c r="I15" s="200" t="s">
        <v>503</v>
      </c>
      <c r="J15" s="200" t="s">
        <v>504</v>
      </c>
      <c r="K15" s="196" t="s">
        <v>338</v>
      </c>
      <c r="L15" s="196" t="s">
        <v>591</v>
      </c>
      <c r="M15" s="196" t="s">
        <v>520</v>
      </c>
      <c r="N15" s="196" t="s">
        <v>521</v>
      </c>
      <c r="Q15" s="201" t="s">
        <v>69</v>
      </c>
    </row>
    <row r="16" spans="1:17" s="120" customFormat="1" ht="240">
      <c r="A16" s="29" t="s">
        <v>257</v>
      </c>
      <c r="B16" s="140" t="s">
        <v>335</v>
      </c>
      <c r="C16" s="140" t="s">
        <v>337</v>
      </c>
      <c r="D16" s="144" t="s">
        <v>522</v>
      </c>
      <c r="E16" s="144" t="s">
        <v>499</v>
      </c>
      <c r="F16" s="143" t="s">
        <v>523</v>
      </c>
      <c r="G16" s="122" t="s">
        <v>524</v>
      </c>
      <c r="H16" s="203" t="s">
        <v>525</v>
      </c>
      <c r="I16" s="144" t="s">
        <v>526</v>
      </c>
      <c r="J16" s="144" t="s">
        <v>504</v>
      </c>
      <c r="K16" s="143" t="s">
        <v>339</v>
      </c>
      <c r="L16" s="196" t="s">
        <v>591</v>
      </c>
      <c r="M16" s="140" t="s">
        <v>527</v>
      </c>
      <c r="N16" s="140" t="s">
        <v>528</v>
      </c>
      <c r="Q16" s="120" t="s">
        <v>70</v>
      </c>
    </row>
    <row r="17" spans="1:14" s="120" customFormat="1" ht="240">
      <c r="A17" s="29" t="s">
        <v>257</v>
      </c>
      <c r="B17" s="204" t="s">
        <v>335</v>
      </c>
      <c r="C17" s="140" t="s">
        <v>337</v>
      </c>
      <c r="D17" s="144" t="s">
        <v>522</v>
      </c>
      <c r="E17" s="144" t="s">
        <v>499</v>
      </c>
      <c r="F17" s="143" t="s">
        <v>523</v>
      </c>
      <c r="G17" s="122" t="s">
        <v>529</v>
      </c>
      <c r="H17" s="203" t="s">
        <v>530</v>
      </c>
      <c r="I17" s="144" t="s">
        <v>526</v>
      </c>
      <c r="J17" s="144" t="s">
        <v>504</v>
      </c>
      <c r="K17" s="143" t="s">
        <v>339</v>
      </c>
      <c r="L17" s="196" t="s">
        <v>591</v>
      </c>
      <c r="M17" s="140" t="s">
        <v>527</v>
      </c>
      <c r="N17" s="140" t="s">
        <v>528</v>
      </c>
    </row>
    <row r="18" spans="1:14" s="120" customFormat="1" ht="240">
      <c r="A18" s="29" t="s">
        <v>257</v>
      </c>
      <c r="B18" s="140" t="s">
        <v>335</v>
      </c>
      <c r="C18" s="140" t="s">
        <v>337</v>
      </c>
      <c r="D18" s="144" t="s">
        <v>522</v>
      </c>
      <c r="E18" s="144" t="s">
        <v>499</v>
      </c>
      <c r="F18" s="143" t="s">
        <v>523</v>
      </c>
      <c r="G18" s="122" t="s">
        <v>531</v>
      </c>
      <c r="H18" s="203" t="s">
        <v>532</v>
      </c>
      <c r="I18" s="144" t="s">
        <v>526</v>
      </c>
      <c r="J18" s="144" t="s">
        <v>504</v>
      </c>
      <c r="K18" s="143" t="s">
        <v>339</v>
      </c>
      <c r="L18" s="196" t="s">
        <v>591</v>
      </c>
      <c r="M18" s="140" t="s">
        <v>527</v>
      </c>
      <c r="N18" s="143" t="s">
        <v>528</v>
      </c>
    </row>
    <row r="19" spans="1:14" s="120" customFormat="1" ht="135">
      <c r="A19" s="29" t="s">
        <v>258</v>
      </c>
      <c r="B19" s="143" t="s">
        <v>335</v>
      </c>
      <c r="C19" s="204" t="s">
        <v>337</v>
      </c>
      <c r="D19" s="140" t="s">
        <v>533</v>
      </c>
      <c r="E19" s="144" t="s">
        <v>499</v>
      </c>
      <c r="F19" s="205" t="s">
        <v>534</v>
      </c>
      <c r="G19" s="141" t="s">
        <v>535</v>
      </c>
      <c r="H19" s="203" t="s">
        <v>536</v>
      </c>
      <c r="I19" s="144" t="s">
        <v>537</v>
      </c>
      <c r="J19" s="144" t="s">
        <v>538</v>
      </c>
      <c r="K19" s="143" t="s">
        <v>340</v>
      </c>
      <c r="L19" s="196" t="s">
        <v>591</v>
      </c>
      <c r="M19" s="140" t="s">
        <v>539</v>
      </c>
      <c r="N19" s="140" t="s">
        <v>540</v>
      </c>
    </row>
    <row r="20" spans="1:14" s="120" customFormat="1" ht="120">
      <c r="A20" s="29" t="s">
        <v>258</v>
      </c>
      <c r="B20" s="143" t="s">
        <v>335</v>
      </c>
      <c r="C20" s="204" t="s">
        <v>337</v>
      </c>
      <c r="D20" s="140" t="s">
        <v>533</v>
      </c>
      <c r="E20" s="144" t="s">
        <v>499</v>
      </c>
      <c r="F20" s="205" t="s">
        <v>523</v>
      </c>
      <c r="G20" s="141" t="s">
        <v>541</v>
      </c>
      <c r="H20" s="203" t="s">
        <v>542</v>
      </c>
      <c r="I20" s="144" t="s">
        <v>503</v>
      </c>
      <c r="J20" s="144" t="s">
        <v>538</v>
      </c>
      <c r="K20" s="143" t="s">
        <v>340</v>
      </c>
      <c r="L20" s="196" t="s">
        <v>591</v>
      </c>
      <c r="M20" s="140" t="s">
        <v>539</v>
      </c>
      <c r="N20" s="140" t="s">
        <v>540</v>
      </c>
    </row>
    <row r="21" spans="1:14" s="120" customFormat="1" ht="120">
      <c r="A21" s="29" t="s">
        <v>257</v>
      </c>
      <c r="B21" s="145" t="s">
        <v>335</v>
      </c>
      <c r="C21" s="140" t="s">
        <v>337</v>
      </c>
      <c r="D21" s="144" t="s">
        <v>522</v>
      </c>
      <c r="E21" s="144" t="s">
        <v>499</v>
      </c>
      <c r="F21" s="143" t="s">
        <v>523</v>
      </c>
      <c r="G21" s="141" t="s">
        <v>543</v>
      </c>
      <c r="H21" s="203" t="s">
        <v>544</v>
      </c>
      <c r="I21" s="143" t="s">
        <v>526</v>
      </c>
      <c r="J21" s="144" t="s">
        <v>538</v>
      </c>
      <c r="K21" s="143" t="s">
        <v>341</v>
      </c>
      <c r="L21" s="196" t="s">
        <v>591</v>
      </c>
      <c r="M21" s="140" t="s">
        <v>545</v>
      </c>
      <c r="N21" s="140" t="s">
        <v>546</v>
      </c>
    </row>
    <row r="22" spans="1:14" s="120" customFormat="1" ht="120">
      <c r="A22" s="29" t="s">
        <v>257</v>
      </c>
      <c r="B22" s="145" t="s">
        <v>335</v>
      </c>
      <c r="C22" s="140" t="s">
        <v>337</v>
      </c>
      <c r="D22" s="144" t="s">
        <v>522</v>
      </c>
      <c r="E22" s="144" t="s">
        <v>499</v>
      </c>
      <c r="F22" s="143" t="s">
        <v>523</v>
      </c>
      <c r="G22" s="141" t="s">
        <v>547</v>
      </c>
      <c r="H22" s="203" t="s">
        <v>548</v>
      </c>
      <c r="I22" s="143" t="s">
        <v>526</v>
      </c>
      <c r="J22" s="144" t="s">
        <v>538</v>
      </c>
      <c r="K22" s="143" t="s">
        <v>341</v>
      </c>
      <c r="L22" s="196" t="s">
        <v>591</v>
      </c>
      <c r="M22" s="140" t="s">
        <v>545</v>
      </c>
      <c r="N22" s="140" t="s">
        <v>546</v>
      </c>
    </row>
    <row r="23" spans="1:14" s="120" customFormat="1" ht="150">
      <c r="A23" s="29" t="s">
        <v>257</v>
      </c>
      <c r="B23" s="143" t="s">
        <v>335</v>
      </c>
      <c r="C23" s="144" t="s">
        <v>337</v>
      </c>
      <c r="D23" s="143" t="s">
        <v>549</v>
      </c>
      <c r="E23" s="144" t="s">
        <v>499</v>
      </c>
      <c r="F23" s="143" t="s">
        <v>523</v>
      </c>
      <c r="G23" s="143" t="s">
        <v>550</v>
      </c>
      <c r="H23" s="143" t="s">
        <v>551</v>
      </c>
      <c r="I23" s="144" t="s">
        <v>526</v>
      </c>
      <c r="J23" s="144" t="s">
        <v>538</v>
      </c>
      <c r="K23" s="140" t="s">
        <v>342</v>
      </c>
      <c r="L23" s="196" t="s">
        <v>591</v>
      </c>
      <c r="M23" s="143" t="s">
        <v>552</v>
      </c>
      <c r="N23" s="143" t="s">
        <v>553</v>
      </c>
    </row>
    <row r="24" spans="1:14" s="120" customFormat="1" ht="240">
      <c r="A24" s="29" t="s">
        <v>257</v>
      </c>
      <c r="B24" s="143" t="s">
        <v>335</v>
      </c>
      <c r="C24" s="144" t="s">
        <v>337</v>
      </c>
      <c r="D24" s="144" t="s">
        <v>522</v>
      </c>
      <c r="E24" s="143" t="s">
        <v>499</v>
      </c>
      <c r="F24" s="143" t="s">
        <v>523</v>
      </c>
      <c r="G24" s="140" t="s">
        <v>554</v>
      </c>
      <c r="H24" s="140" t="s">
        <v>555</v>
      </c>
      <c r="I24" s="144" t="s">
        <v>526</v>
      </c>
      <c r="J24" s="142" t="s">
        <v>538</v>
      </c>
      <c r="K24" s="140" t="s">
        <v>342</v>
      </c>
      <c r="L24" s="196" t="s">
        <v>591</v>
      </c>
      <c r="M24" s="143" t="s">
        <v>556</v>
      </c>
      <c r="N24" s="143" t="s">
        <v>557</v>
      </c>
    </row>
    <row r="25" spans="1:14" s="120" customFormat="1" ht="110.4">
      <c r="A25" s="29" t="s">
        <v>257</v>
      </c>
      <c r="B25" s="143" t="s">
        <v>335</v>
      </c>
      <c r="C25" s="144" t="s">
        <v>337</v>
      </c>
      <c r="D25" s="144" t="s">
        <v>522</v>
      </c>
      <c r="E25" s="143" t="s">
        <v>499</v>
      </c>
      <c r="F25" s="143" t="s">
        <v>523</v>
      </c>
      <c r="G25" s="140" t="s">
        <v>554</v>
      </c>
      <c r="H25" s="140" t="s">
        <v>555</v>
      </c>
      <c r="I25" s="144" t="s">
        <v>526</v>
      </c>
      <c r="J25" s="142" t="s">
        <v>538</v>
      </c>
      <c r="K25" s="140" t="s">
        <v>342</v>
      </c>
      <c r="L25" s="196" t="s">
        <v>591</v>
      </c>
      <c r="M25" s="140" t="s">
        <v>558</v>
      </c>
      <c r="N25" s="143" t="s">
        <v>559</v>
      </c>
    </row>
    <row r="26" spans="1:14" s="120" customFormat="1" ht="110.4">
      <c r="A26" s="29" t="s">
        <v>257</v>
      </c>
      <c r="B26" s="143" t="s">
        <v>335</v>
      </c>
      <c r="C26" s="143" t="s">
        <v>337</v>
      </c>
      <c r="D26" s="144" t="s">
        <v>522</v>
      </c>
      <c r="E26" s="144" t="s">
        <v>499</v>
      </c>
      <c r="F26" s="143" t="s">
        <v>523</v>
      </c>
      <c r="G26" s="143" t="s">
        <v>560</v>
      </c>
      <c r="H26" s="143" t="s">
        <v>561</v>
      </c>
      <c r="I26" s="144" t="s">
        <v>526</v>
      </c>
      <c r="J26" s="144" t="s">
        <v>538</v>
      </c>
      <c r="K26" s="143" t="s">
        <v>343</v>
      </c>
      <c r="L26" s="196" t="s">
        <v>591</v>
      </c>
      <c r="M26" s="140" t="s">
        <v>562</v>
      </c>
      <c r="N26" s="143" t="s">
        <v>563</v>
      </c>
    </row>
    <row r="27" spans="1:14" s="120" customFormat="1" ht="195">
      <c r="A27" s="29" t="s">
        <v>259</v>
      </c>
      <c r="B27" s="143" t="s">
        <v>335</v>
      </c>
      <c r="C27" s="143" t="s">
        <v>337</v>
      </c>
      <c r="D27" s="143" t="s">
        <v>564</v>
      </c>
      <c r="E27" s="144" t="s">
        <v>499</v>
      </c>
      <c r="F27" s="121" t="s">
        <v>565</v>
      </c>
      <c r="G27" s="143" t="s">
        <v>566</v>
      </c>
      <c r="H27" s="143" t="s">
        <v>567</v>
      </c>
      <c r="I27" s="144" t="s">
        <v>526</v>
      </c>
      <c r="J27" s="144" t="s">
        <v>538</v>
      </c>
      <c r="K27" s="143" t="s">
        <v>344</v>
      </c>
      <c r="L27" s="196" t="s">
        <v>591</v>
      </c>
      <c r="M27" s="140" t="s">
        <v>568</v>
      </c>
      <c r="N27" s="141" t="s">
        <v>569</v>
      </c>
    </row>
    <row r="28" spans="1:14" s="120" customFormat="1" ht="195">
      <c r="A28" s="29" t="s">
        <v>259</v>
      </c>
      <c r="B28" s="143" t="s">
        <v>335</v>
      </c>
      <c r="C28" s="143" t="s">
        <v>337</v>
      </c>
      <c r="D28" s="143" t="s">
        <v>564</v>
      </c>
      <c r="E28" s="144" t="s">
        <v>499</v>
      </c>
      <c r="F28" s="143" t="s">
        <v>570</v>
      </c>
      <c r="G28" s="143" t="s">
        <v>571</v>
      </c>
      <c r="H28" s="143" t="s">
        <v>572</v>
      </c>
      <c r="I28" s="144" t="s">
        <v>526</v>
      </c>
      <c r="J28" s="144" t="s">
        <v>538</v>
      </c>
      <c r="K28" s="143" t="s">
        <v>345</v>
      </c>
      <c r="L28" s="196" t="s">
        <v>591</v>
      </c>
      <c r="M28" s="143" t="s">
        <v>573</v>
      </c>
      <c r="N28" s="141" t="s">
        <v>574</v>
      </c>
    </row>
    <row r="29" spans="1:14" s="120" customFormat="1" ht="110.4">
      <c r="A29" s="29" t="s">
        <v>257</v>
      </c>
      <c r="B29" s="140" t="s">
        <v>336</v>
      </c>
      <c r="C29" s="142" t="s">
        <v>337</v>
      </c>
      <c r="D29" s="144" t="s">
        <v>522</v>
      </c>
      <c r="E29" s="140" t="s">
        <v>499</v>
      </c>
      <c r="F29" s="140" t="s">
        <v>523</v>
      </c>
      <c r="G29" s="143" t="s">
        <v>575</v>
      </c>
      <c r="H29" s="140" t="s">
        <v>576</v>
      </c>
      <c r="I29" s="142" t="s">
        <v>526</v>
      </c>
      <c r="J29" s="142" t="s">
        <v>538</v>
      </c>
      <c r="K29" s="143" t="s">
        <v>346</v>
      </c>
      <c r="L29" s="196" t="s">
        <v>591</v>
      </c>
      <c r="M29" s="140" t="s">
        <v>577</v>
      </c>
      <c r="N29" s="143" t="s">
        <v>578</v>
      </c>
    </row>
    <row r="30" spans="1:14" s="120" customFormat="1" ht="110.4">
      <c r="A30" s="29" t="s">
        <v>257</v>
      </c>
      <c r="B30" s="140" t="s">
        <v>336</v>
      </c>
      <c r="C30" s="142" t="s">
        <v>337</v>
      </c>
      <c r="D30" s="144" t="s">
        <v>522</v>
      </c>
      <c r="E30" s="140" t="s">
        <v>499</v>
      </c>
      <c r="F30" s="140" t="s">
        <v>523</v>
      </c>
      <c r="G30" s="143" t="s">
        <v>575</v>
      </c>
      <c r="H30" s="140" t="s">
        <v>576</v>
      </c>
      <c r="I30" s="142" t="s">
        <v>526</v>
      </c>
      <c r="J30" s="142" t="s">
        <v>538</v>
      </c>
      <c r="K30" s="143" t="s">
        <v>346</v>
      </c>
      <c r="L30" s="196" t="s">
        <v>591</v>
      </c>
      <c r="M30" s="140" t="s">
        <v>579</v>
      </c>
      <c r="N30" s="143" t="s">
        <v>580</v>
      </c>
    </row>
    <row r="31" spans="1:14" s="120" customFormat="1" ht="105" customHeight="1">
      <c r="A31" s="29" t="s">
        <v>259</v>
      </c>
      <c r="B31" s="140" t="s">
        <v>336</v>
      </c>
      <c r="C31" s="142" t="s">
        <v>337</v>
      </c>
      <c r="D31" s="140" t="s">
        <v>564</v>
      </c>
      <c r="E31" s="144" t="s">
        <v>499</v>
      </c>
      <c r="F31" s="140" t="s">
        <v>570</v>
      </c>
      <c r="G31" s="140" t="s">
        <v>581</v>
      </c>
      <c r="H31" s="140" t="s">
        <v>582</v>
      </c>
      <c r="I31" s="142" t="s">
        <v>526</v>
      </c>
      <c r="J31" s="142" t="s">
        <v>538</v>
      </c>
      <c r="K31" s="143" t="s">
        <v>346</v>
      </c>
      <c r="L31" s="196" t="s">
        <v>591</v>
      </c>
      <c r="M31" s="140" t="s">
        <v>437</v>
      </c>
      <c r="N31" s="143" t="s">
        <v>574</v>
      </c>
    </row>
    <row r="32" spans="1:14" s="120" customFormat="1" ht="195">
      <c r="A32" s="29" t="s">
        <v>259</v>
      </c>
      <c r="B32" s="140" t="s">
        <v>336</v>
      </c>
      <c r="C32" s="142" t="s">
        <v>337</v>
      </c>
      <c r="D32" s="143" t="s">
        <v>564</v>
      </c>
      <c r="E32" s="144" t="s">
        <v>499</v>
      </c>
      <c r="F32" s="140" t="s">
        <v>570</v>
      </c>
      <c r="G32" s="140" t="s">
        <v>581</v>
      </c>
      <c r="H32" s="140" t="s">
        <v>582</v>
      </c>
      <c r="I32" s="142" t="s">
        <v>526</v>
      </c>
      <c r="J32" s="142" t="s">
        <v>538</v>
      </c>
      <c r="K32" s="143" t="s">
        <v>346</v>
      </c>
      <c r="L32" s="196" t="s">
        <v>591</v>
      </c>
      <c r="M32" s="140" t="s">
        <v>439</v>
      </c>
      <c r="N32" s="143" t="s">
        <v>574</v>
      </c>
    </row>
    <row r="33" spans="1:14" s="120" customFormat="1" ht="195">
      <c r="A33" s="29" t="s">
        <v>259</v>
      </c>
      <c r="B33" s="140" t="s">
        <v>336</v>
      </c>
      <c r="C33" s="142" t="s">
        <v>337</v>
      </c>
      <c r="D33" s="143" t="s">
        <v>564</v>
      </c>
      <c r="E33" s="144" t="s">
        <v>499</v>
      </c>
      <c r="F33" s="140" t="s">
        <v>570</v>
      </c>
      <c r="G33" s="143" t="s">
        <v>583</v>
      </c>
      <c r="H33" s="143" t="s">
        <v>584</v>
      </c>
      <c r="I33" s="144" t="s">
        <v>526</v>
      </c>
      <c r="J33" s="144" t="s">
        <v>538</v>
      </c>
      <c r="K33" s="143" t="s">
        <v>346</v>
      </c>
      <c r="L33" s="196" t="s">
        <v>591</v>
      </c>
      <c r="M33" s="140" t="s">
        <v>585</v>
      </c>
      <c r="N33" s="143" t="s">
        <v>574</v>
      </c>
    </row>
    <row r="34" spans="1:14" s="120" customFormat="1" ht="110.4">
      <c r="A34" s="29" t="s">
        <v>257</v>
      </c>
      <c r="B34" s="143" t="s">
        <v>336</v>
      </c>
      <c r="C34" s="144" t="s">
        <v>337</v>
      </c>
      <c r="D34" s="144" t="s">
        <v>522</v>
      </c>
      <c r="E34" s="144" t="s">
        <v>499</v>
      </c>
      <c r="F34" s="143" t="s">
        <v>523</v>
      </c>
      <c r="G34" s="143" t="s">
        <v>560</v>
      </c>
      <c r="H34" s="143" t="s">
        <v>586</v>
      </c>
      <c r="I34" s="144" t="s">
        <v>526</v>
      </c>
      <c r="J34" s="144" t="s">
        <v>538</v>
      </c>
      <c r="K34" s="144" t="s">
        <v>347</v>
      </c>
      <c r="L34" s="196" t="s">
        <v>591</v>
      </c>
      <c r="M34" s="143" t="s">
        <v>587</v>
      </c>
      <c r="N34" s="143" t="s">
        <v>588</v>
      </c>
    </row>
    <row r="35" spans="1:14" s="120" customFormat="1" ht="110.4">
      <c r="A35" s="29" t="s">
        <v>257</v>
      </c>
      <c r="B35" s="143" t="s">
        <v>336</v>
      </c>
      <c r="C35" s="143" t="s">
        <v>337</v>
      </c>
      <c r="D35" s="144" t="s">
        <v>522</v>
      </c>
      <c r="E35" s="144" t="s">
        <v>499</v>
      </c>
      <c r="F35" s="143" t="s">
        <v>523</v>
      </c>
      <c r="G35" s="143" t="s">
        <v>560</v>
      </c>
      <c r="H35" s="143" t="s">
        <v>586</v>
      </c>
      <c r="I35" s="144" t="s">
        <v>526</v>
      </c>
      <c r="J35" s="144" t="s">
        <v>538</v>
      </c>
      <c r="K35" s="144" t="s">
        <v>347</v>
      </c>
      <c r="L35" s="196" t="s">
        <v>591</v>
      </c>
      <c r="M35" s="143" t="s">
        <v>587</v>
      </c>
      <c r="N35" s="143" t="s">
        <v>588</v>
      </c>
    </row>
    <row r="36" spans="1:14" s="120" customFormat="1" ht="110.4">
      <c r="A36" s="29" t="s">
        <v>257</v>
      </c>
      <c r="B36" s="143" t="s">
        <v>336</v>
      </c>
      <c r="C36" s="143" t="s">
        <v>337</v>
      </c>
      <c r="D36" s="144" t="s">
        <v>522</v>
      </c>
      <c r="E36" s="144" t="s">
        <v>499</v>
      </c>
      <c r="F36" s="143" t="s">
        <v>523</v>
      </c>
      <c r="G36" s="143" t="s">
        <v>560</v>
      </c>
      <c r="H36" s="143" t="s">
        <v>586</v>
      </c>
      <c r="I36" s="144" t="s">
        <v>526</v>
      </c>
      <c r="J36" s="144" t="s">
        <v>538</v>
      </c>
      <c r="K36" s="144" t="s">
        <v>348</v>
      </c>
      <c r="L36" s="196" t="s">
        <v>591</v>
      </c>
      <c r="M36" s="143" t="s">
        <v>589</v>
      </c>
      <c r="N36" s="143" t="s">
        <v>590</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118" xr:uid="{00000000-0002-0000-0700-000000000000}">
      <formula1>$Q$11:$Q$16</formula1>
    </dataValidation>
  </dataValidations>
  <pageMargins left="0.7" right="0.7" top="0.75" bottom="0.75" header="0.3" footer="0.3"/>
  <pageSetup paperSize="9"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O144"/>
  <sheetViews>
    <sheetView topLeftCell="A132" zoomScale="10" zoomScaleNormal="10" workbookViewId="0">
      <selection activeCell="AD155" sqref="AD155:AD156"/>
    </sheetView>
  </sheetViews>
  <sheetFormatPr baseColWidth="10" defaultColWidth="11.6640625" defaultRowHeight="69.900000000000006" customHeight="1"/>
  <cols>
    <col min="1" max="1" width="40" style="154" customWidth="1"/>
    <col min="2" max="2" width="34.88671875" style="154" customWidth="1"/>
    <col min="3" max="3" width="23.21875" style="154" customWidth="1"/>
    <col min="4" max="4" width="28.33203125" style="154" customWidth="1"/>
    <col min="5" max="5" width="35.77734375" style="154" customWidth="1"/>
    <col min="6" max="6" width="32.77734375" style="154" customWidth="1"/>
    <col min="7" max="7" width="41.109375" style="154" customWidth="1"/>
    <col min="8" max="8" width="47" style="154" customWidth="1"/>
    <col min="9" max="9" width="39.109375" style="154" customWidth="1"/>
    <col min="10" max="10" width="34.33203125" style="154" customWidth="1"/>
    <col min="11" max="11" width="31.88671875" style="157" hidden="1" customWidth="1"/>
    <col min="12" max="12" width="40.6640625" style="167" customWidth="1"/>
    <col min="13" max="13" width="0.21875" style="154" customWidth="1"/>
    <col min="14" max="14" width="51.77734375" style="154" customWidth="1"/>
    <col min="15" max="15" width="34.77734375" style="154" customWidth="1"/>
    <col min="16" max="16" width="36.109375" style="154" customWidth="1"/>
    <col min="17" max="18" width="53.6640625" style="154" customWidth="1"/>
    <col min="19" max="19" width="47.77734375" style="154" customWidth="1"/>
    <col min="20" max="20" width="44" style="154" customWidth="1"/>
    <col min="21" max="21" width="35.77734375" style="154" customWidth="1"/>
    <col min="22" max="22" width="35.88671875" style="154" customWidth="1"/>
    <col min="23" max="23" width="31.77734375" style="154" customWidth="1"/>
    <col min="24" max="24" width="32.88671875" style="154" customWidth="1"/>
    <col min="25" max="25" width="29" style="154" customWidth="1"/>
    <col min="26" max="26" width="67.21875" style="154" customWidth="1"/>
    <col min="27" max="27" width="31.21875" style="154" customWidth="1"/>
    <col min="28" max="28" width="46.21875" style="154" bestFit="1" customWidth="1"/>
    <col min="29" max="29" width="46.21875" style="154" customWidth="1"/>
    <col min="30" max="30" width="29.21875" style="154" bestFit="1" customWidth="1"/>
    <col min="31" max="31" width="50.33203125" style="154" customWidth="1"/>
    <col min="32" max="32" width="57.88671875" style="154" customWidth="1"/>
    <col min="33" max="33" width="44.88671875" style="154" customWidth="1"/>
    <col min="34" max="34" width="51.6640625" style="154" customWidth="1"/>
    <col min="35" max="38" width="30.88671875" style="154" hidden="1" customWidth="1"/>
    <col min="39" max="39" width="26.77734375" style="168" bestFit="1" customWidth="1"/>
    <col min="40" max="40" width="41" style="154" bestFit="1" customWidth="1"/>
    <col min="41" max="41" width="121" style="154" customWidth="1"/>
    <col min="42" max="42" width="50" style="154" customWidth="1"/>
    <col min="43" max="43" width="49.88671875" style="154" customWidth="1"/>
    <col min="44" max="44" width="50.21875" style="154" customWidth="1"/>
    <col min="45" max="45" width="35.109375" style="3" customWidth="1"/>
    <col min="46" max="46" width="44.88671875" style="3" customWidth="1"/>
    <col min="47" max="47" width="33.33203125" style="3" customWidth="1"/>
    <col min="48" max="48" width="50" style="3" customWidth="1"/>
    <col min="49" max="50" width="11.6640625" style="3"/>
    <col min="51" max="51" width="56.88671875" style="3" customWidth="1"/>
    <col min="52" max="53" width="11.21875" style="3" customWidth="1"/>
    <col min="54" max="54" width="11.6640625" style="154"/>
    <col min="55" max="119" width="11.6640625" style="3"/>
    <col min="120" max="16384" width="11.6640625" style="154"/>
  </cols>
  <sheetData>
    <row r="1" spans="1:119" s="3" customFormat="1" ht="15.75" customHeight="1">
      <c r="A1" s="713"/>
      <c r="B1" s="713"/>
      <c r="C1" s="714" t="s">
        <v>0</v>
      </c>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6"/>
      <c r="AN1" s="717" t="s">
        <v>188</v>
      </c>
      <c r="AO1" s="718"/>
      <c r="AP1" s="213"/>
      <c r="AQ1" s="213"/>
      <c r="AR1" s="213"/>
    </row>
    <row r="2" spans="1:119" s="3" customFormat="1" ht="33.75" customHeight="1">
      <c r="A2" s="713"/>
      <c r="B2" s="713"/>
      <c r="C2" s="714" t="s">
        <v>1</v>
      </c>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6"/>
      <c r="AN2" s="717" t="s">
        <v>2</v>
      </c>
      <c r="AO2" s="718"/>
      <c r="AP2" s="213"/>
      <c r="AQ2" s="213"/>
      <c r="AR2" s="213"/>
    </row>
    <row r="3" spans="1:119" s="3" customFormat="1" ht="24.75" customHeight="1">
      <c r="A3" s="713"/>
      <c r="B3" s="713"/>
      <c r="C3" s="714" t="s">
        <v>3</v>
      </c>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6"/>
      <c r="AN3" s="717" t="s">
        <v>187</v>
      </c>
      <c r="AO3" s="718"/>
      <c r="AP3" s="213"/>
      <c r="AQ3" s="213"/>
      <c r="AR3" s="213"/>
    </row>
    <row r="4" spans="1:119" s="3" customFormat="1" ht="36" customHeight="1">
      <c r="A4" s="713"/>
      <c r="B4" s="713"/>
      <c r="C4" s="714" t="s">
        <v>136</v>
      </c>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c r="AK4" s="715"/>
      <c r="AL4" s="715"/>
      <c r="AM4" s="716"/>
      <c r="AN4" s="717" t="s">
        <v>190</v>
      </c>
      <c r="AO4" s="718"/>
      <c r="AP4" s="213"/>
      <c r="AQ4" s="213"/>
      <c r="AR4" s="213"/>
    </row>
    <row r="5" spans="1:119" s="3" customFormat="1" ht="18.75" customHeight="1">
      <c r="A5" s="694" t="s">
        <v>4</v>
      </c>
      <c r="B5" s="695"/>
      <c r="C5" s="695"/>
      <c r="D5" s="695"/>
      <c r="E5" s="695"/>
      <c r="F5" s="695"/>
      <c r="G5" s="695"/>
      <c r="H5" s="695"/>
      <c r="I5" s="695"/>
      <c r="J5" s="695"/>
      <c r="K5" s="695"/>
      <c r="L5" s="695"/>
      <c r="M5" s="695"/>
      <c r="N5" s="695"/>
      <c r="O5" s="695"/>
      <c r="P5" s="695"/>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6"/>
      <c r="AP5" s="214"/>
      <c r="AQ5" s="214"/>
      <c r="AR5" s="214"/>
    </row>
    <row r="6" spans="1:119" ht="39.75" customHeight="1">
      <c r="A6" s="647" t="s">
        <v>146</v>
      </c>
      <c r="B6" s="647"/>
      <c r="C6" s="647"/>
      <c r="D6" s="647"/>
      <c r="E6" s="647"/>
      <c r="F6" s="647"/>
      <c r="G6" s="647"/>
      <c r="H6" s="647"/>
      <c r="I6" s="647"/>
      <c r="J6" s="647"/>
      <c r="K6" s="647"/>
      <c r="L6" s="647"/>
      <c r="M6" s="647"/>
      <c r="N6" s="647"/>
      <c r="O6" s="647"/>
      <c r="P6" s="647"/>
      <c r="Q6" s="647"/>
      <c r="R6" s="647"/>
      <c r="S6" s="647"/>
      <c r="T6" s="647"/>
      <c r="U6" s="647"/>
      <c r="V6" s="647"/>
      <c r="W6" s="647"/>
      <c r="X6" s="647"/>
      <c r="Y6" s="647"/>
      <c r="Z6" s="648"/>
      <c r="AA6" s="697" t="s">
        <v>72</v>
      </c>
      <c r="AB6" s="698"/>
      <c r="AC6" s="698"/>
      <c r="AD6" s="698"/>
      <c r="AE6" s="698"/>
      <c r="AF6" s="698"/>
      <c r="AG6" s="33"/>
      <c r="AH6" s="701" t="s">
        <v>5</v>
      </c>
      <c r="AI6" s="702"/>
      <c r="AJ6" s="702"/>
      <c r="AK6" s="702"/>
      <c r="AL6" s="702"/>
      <c r="AM6" s="702"/>
      <c r="AN6" s="702"/>
      <c r="AO6" s="703"/>
      <c r="AP6" s="215"/>
      <c r="AQ6" s="215"/>
      <c r="AR6" s="215"/>
    </row>
    <row r="7" spans="1:119" ht="30.75" customHeight="1">
      <c r="A7" s="649"/>
      <c r="B7" s="649"/>
      <c r="C7" s="649"/>
      <c r="D7" s="649"/>
      <c r="E7" s="649"/>
      <c r="F7" s="649"/>
      <c r="G7" s="649"/>
      <c r="H7" s="649"/>
      <c r="I7" s="649"/>
      <c r="J7" s="649"/>
      <c r="K7" s="649"/>
      <c r="L7" s="649"/>
      <c r="M7" s="649"/>
      <c r="N7" s="649"/>
      <c r="O7" s="649"/>
      <c r="P7" s="649"/>
      <c r="Q7" s="649"/>
      <c r="R7" s="649"/>
      <c r="S7" s="649"/>
      <c r="T7" s="649"/>
      <c r="U7" s="649"/>
      <c r="V7" s="649"/>
      <c r="W7" s="649"/>
      <c r="X7" s="649"/>
      <c r="Y7" s="649"/>
      <c r="Z7" s="651"/>
      <c r="AA7" s="699"/>
      <c r="AB7" s="700"/>
      <c r="AC7" s="700"/>
      <c r="AD7" s="700"/>
      <c r="AE7" s="700"/>
      <c r="AF7" s="700"/>
      <c r="AG7" s="37"/>
      <c r="AH7" s="704"/>
      <c r="AI7" s="705"/>
      <c r="AJ7" s="705"/>
      <c r="AK7" s="705"/>
      <c r="AL7" s="705"/>
      <c r="AM7" s="705"/>
      <c r="AN7" s="705"/>
      <c r="AO7" s="706"/>
      <c r="AP7" s="215"/>
      <c r="AQ7" s="215"/>
      <c r="AR7" s="215"/>
    </row>
    <row r="8" spans="1:119" ht="69.900000000000006" customHeight="1">
      <c r="A8" s="14" t="s">
        <v>77</v>
      </c>
      <c r="B8" s="14" t="s">
        <v>6</v>
      </c>
      <c r="C8" s="14" t="s">
        <v>168</v>
      </c>
      <c r="D8" s="2" t="s">
        <v>409</v>
      </c>
      <c r="E8" s="2" t="s">
        <v>9</v>
      </c>
      <c r="F8" s="14" t="s">
        <v>10</v>
      </c>
      <c r="G8" s="2" t="s">
        <v>126</v>
      </c>
      <c r="H8" s="2" t="s">
        <v>171</v>
      </c>
      <c r="I8" s="2" t="s">
        <v>127</v>
      </c>
      <c r="J8" s="34" t="s">
        <v>751</v>
      </c>
      <c r="K8" s="209" t="s">
        <v>176</v>
      </c>
      <c r="L8" s="15" t="s">
        <v>166</v>
      </c>
      <c r="M8" s="15" t="s">
        <v>183</v>
      </c>
      <c r="N8" s="15" t="s">
        <v>11</v>
      </c>
      <c r="O8" s="180" t="s">
        <v>643</v>
      </c>
      <c r="P8" s="180" t="s">
        <v>644</v>
      </c>
      <c r="Q8" s="35" t="s">
        <v>752</v>
      </c>
      <c r="R8" s="35" t="s">
        <v>765</v>
      </c>
      <c r="S8" s="15" t="s">
        <v>128</v>
      </c>
      <c r="T8" s="15" t="s">
        <v>129</v>
      </c>
      <c r="U8" s="14" t="s">
        <v>15</v>
      </c>
      <c r="V8" s="14" t="s">
        <v>16</v>
      </c>
      <c r="W8" s="14" t="s">
        <v>141</v>
      </c>
      <c r="X8" s="14" t="s">
        <v>35</v>
      </c>
      <c r="Y8" s="14" t="s">
        <v>82</v>
      </c>
      <c r="Z8" s="14" t="s">
        <v>83</v>
      </c>
      <c r="AA8" s="30" t="s">
        <v>21</v>
      </c>
      <c r="AB8" s="123" t="s">
        <v>131</v>
      </c>
      <c r="AC8" s="123" t="s">
        <v>181</v>
      </c>
      <c r="AD8" s="123" t="s">
        <v>22</v>
      </c>
      <c r="AE8" s="123" t="s">
        <v>23</v>
      </c>
      <c r="AF8" s="30" t="s">
        <v>24</v>
      </c>
      <c r="AG8" s="36" t="s">
        <v>405</v>
      </c>
      <c r="AH8" s="14" t="s">
        <v>18</v>
      </c>
      <c r="AI8" s="14" t="s">
        <v>130</v>
      </c>
      <c r="AJ8" s="36" t="s">
        <v>406</v>
      </c>
      <c r="AK8" s="36" t="s">
        <v>407</v>
      </c>
      <c r="AL8" s="36" t="s">
        <v>408</v>
      </c>
      <c r="AM8" s="14" t="s">
        <v>17</v>
      </c>
      <c r="AN8" s="14" t="s">
        <v>19</v>
      </c>
      <c r="AO8" s="36" t="s">
        <v>750</v>
      </c>
      <c r="AP8" s="36" t="s">
        <v>754</v>
      </c>
      <c r="AQ8" s="36" t="s">
        <v>760</v>
      </c>
      <c r="AR8" s="36" t="s">
        <v>755</v>
      </c>
      <c r="AS8" s="36" t="s">
        <v>761</v>
      </c>
      <c r="AT8" s="36" t="s">
        <v>762</v>
      </c>
      <c r="AU8" s="36" t="s">
        <v>763</v>
      </c>
      <c r="AV8" s="36" t="s">
        <v>764</v>
      </c>
    </row>
    <row r="9" spans="1:119" s="111" customFormat="1" ht="57.6">
      <c r="A9" s="38" t="s">
        <v>255</v>
      </c>
      <c r="B9" s="38" t="s">
        <v>196</v>
      </c>
      <c r="C9" s="39" t="s">
        <v>355</v>
      </c>
      <c r="D9" s="38" t="s">
        <v>205</v>
      </c>
      <c r="E9" s="38" t="s">
        <v>260</v>
      </c>
      <c r="F9" s="40">
        <v>2024130010112</v>
      </c>
      <c r="G9" s="139" t="s">
        <v>271</v>
      </c>
      <c r="H9" s="38" t="s">
        <v>281</v>
      </c>
      <c r="I9" s="38" t="s">
        <v>234</v>
      </c>
      <c r="J9" s="170">
        <v>0</v>
      </c>
      <c r="K9" s="116">
        <v>0.25</v>
      </c>
      <c r="L9" s="139" t="s">
        <v>495</v>
      </c>
      <c r="M9" s="41"/>
      <c r="N9" s="42" t="s">
        <v>633</v>
      </c>
      <c r="O9" s="42">
        <v>0</v>
      </c>
      <c r="P9" s="211">
        <v>4</v>
      </c>
      <c r="Q9" s="41">
        <v>0</v>
      </c>
      <c r="R9" s="253">
        <v>0</v>
      </c>
      <c r="S9" s="190">
        <v>45660</v>
      </c>
      <c r="T9" s="190">
        <v>46022</v>
      </c>
      <c r="U9" s="191">
        <f>+T9-S9</f>
        <v>362</v>
      </c>
      <c r="V9" s="41" t="s">
        <v>349</v>
      </c>
      <c r="W9" s="42" t="s">
        <v>352</v>
      </c>
      <c r="X9" s="42" t="s">
        <v>356</v>
      </c>
      <c r="Y9" s="42" t="s">
        <v>371</v>
      </c>
      <c r="Z9" s="42" t="s">
        <v>372</v>
      </c>
      <c r="AA9" s="43" t="s">
        <v>351</v>
      </c>
      <c r="AB9" s="42" t="s">
        <v>593</v>
      </c>
      <c r="AC9" s="192">
        <v>200000000</v>
      </c>
      <c r="AD9" s="41" t="s">
        <v>55</v>
      </c>
      <c r="AE9" s="41" t="s">
        <v>49</v>
      </c>
      <c r="AF9" s="41"/>
      <c r="AG9" s="41"/>
      <c r="AH9" s="707">
        <v>16069279515</v>
      </c>
      <c r="AI9" s="707"/>
      <c r="AJ9" s="41"/>
      <c r="AK9" s="41"/>
      <c r="AL9" s="41"/>
      <c r="AM9" s="710" t="s">
        <v>645</v>
      </c>
      <c r="AN9" s="42" t="s">
        <v>260</v>
      </c>
      <c r="AO9" s="41" t="s">
        <v>737</v>
      </c>
      <c r="AP9" s="737">
        <v>33466088720.580002</v>
      </c>
      <c r="AQ9" s="737">
        <v>11452568124.76</v>
      </c>
      <c r="AR9" s="740">
        <v>0.3422</v>
      </c>
      <c r="AS9" s="737">
        <v>6188370665</v>
      </c>
      <c r="AT9" s="737">
        <v>6188370665</v>
      </c>
      <c r="AU9" s="719">
        <f>+AS9/AP9</f>
        <v>0.18491466740164517</v>
      </c>
      <c r="AV9" s="719">
        <f>+AT9/AP9</f>
        <v>0.18491466740164517</v>
      </c>
      <c r="AW9" s="3"/>
      <c r="AX9" s="3"/>
      <c r="AY9" s="3"/>
      <c r="AZ9" s="3"/>
      <c r="BA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row>
    <row r="10" spans="1:119" s="111" customFormat="1" ht="57.6">
      <c r="A10" s="38" t="s">
        <v>255</v>
      </c>
      <c r="B10" s="38" t="s">
        <v>196</v>
      </c>
      <c r="C10" s="39" t="s">
        <v>355</v>
      </c>
      <c r="D10" s="38" t="s">
        <v>205</v>
      </c>
      <c r="E10" s="38" t="s">
        <v>260</v>
      </c>
      <c r="F10" s="40">
        <v>2024130010112</v>
      </c>
      <c r="G10" s="139" t="s">
        <v>271</v>
      </c>
      <c r="H10" s="38" t="s">
        <v>281</v>
      </c>
      <c r="I10" s="38" t="s">
        <v>234</v>
      </c>
      <c r="J10" s="170">
        <v>0</v>
      </c>
      <c r="K10" s="116">
        <v>0.25</v>
      </c>
      <c r="L10" s="139" t="s">
        <v>494</v>
      </c>
      <c r="M10" s="41"/>
      <c r="N10" s="42" t="s">
        <v>633</v>
      </c>
      <c r="O10" s="42">
        <v>0</v>
      </c>
      <c r="P10" s="211">
        <v>4</v>
      </c>
      <c r="Q10" s="41">
        <v>0</v>
      </c>
      <c r="R10" s="253">
        <v>0</v>
      </c>
      <c r="S10" s="190">
        <v>45660</v>
      </c>
      <c r="T10" s="190">
        <v>46022</v>
      </c>
      <c r="U10" s="191">
        <f>+T10-S10</f>
        <v>362</v>
      </c>
      <c r="V10" s="41" t="s">
        <v>349</v>
      </c>
      <c r="W10" s="42" t="s">
        <v>352</v>
      </c>
      <c r="X10" s="42" t="s">
        <v>356</v>
      </c>
      <c r="Y10" s="42" t="s">
        <v>371</v>
      </c>
      <c r="Z10" s="42" t="s">
        <v>372</v>
      </c>
      <c r="AA10" s="43" t="s">
        <v>351</v>
      </c>
      <c r="AB10" s="42" t="s">
        <v>593</v>
      </c>
      <c r="AC10" s="192">
        <v>200000000</v>
      </c>
      <c r="AD10" s="41" t="s">
        <v>55</v>
      </c>
      <c r="AE10" s="41" t="s">
        <v>49</v>
      </c>
      <c r="AF10" s="41"/>
      <c r="AG10" s="41"/>
      <c r="AH10" s="708"/>
      <c r="AI10" s="708"/>
      <c r="AJ10" s="108">
        <v>4860261721.3199997</v>
      </c>
      <c r="AK10" s="41"/>
      <c r="AL10" s="41"/>
      <c r="AM10" s="711"/>
      <c r="AN10" s="42" t="s">
        <v>260</v>
      </c>
      <c r="AO10" s="41" t="s">
        <v>737</v>
      </c>
      <c r="AP10" s="738"/>
      <c r="AQ10" s="738"/>
      <c r="AR10" s="741"/>
      <c r="AS10" s="738"/>
      <c r="AT10" s="738"/>
      <c r="AU10" s="720"/>
      <c r="AV10" s="720"/>
      <c r="AW10" s="3"/>
      <c r="AX10" s="3"/>
      <c r="AY10" s="3"/>
      <c r="AZ10" s="3"/>
      <c r="BA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row>
    <row r="11" spans="1:119" s="111" customFormat="1" ht="57.6">
      <c r="A11" s="38" t="s">
        <v>255</v>
      </c>
      <c r="B11" s="38" t="s">
        <v>196</v>
      </c>
      <c r="C11" s="39" t="s">
        <v>355</v>
      </c>
      <c r="D11" s="38" t="s">
        <v>205</v>
      </c>
      <c r="E11" s="38" t="s">
        <v>260</v>
      </c>
      <c r="F11" s="40">
        <v>2024130010112</v>
      </c>
      <c r="G11" s="139" t="s">
        <v>271</v>
      </c>
      <c r="H11" s="38" t="s">
        <v>281</v>
      </c>
      <c r="I11" s="38" t="s">
        <v>234</v>
      </c>
      <c r="J11" s="170">
        <v>0</v>
      </c>
      <c r="K11" s="116">
        <v>0.25</v>
      </c>
      <c r="L11" s="139" t="s">
        <v>494</v>
      </c>
      <c r="N11" s="42" t="s">
        <v>633</v>
      </c>
      <c r="O11" s="42">
        <v>0</v>
      </c>
      <c r="P11" s="211">
        <v>4</v>
      </c>
      <c r="Q11" s="41">
        <v>0</v>
      </c>
      <c r="R11" s="253">
        <v>0</v>
      </c>
      <c r="S11" s="190">
        <v>45660</v>
      </c>
      <c r="T11" s="190">
        <v>46022</v>
      </c>
      <c r="U11" s="191">
        <f t="shared" ref="U11:U74" si="0">+T11-S11</f>
        <v>362</v>
      </c>
      <c r="V11" s="41" t="s">
        <v>349</v>
      </c>
      <c r="W11" s="42" t="s">
        <v>352</v>
      </c>
      <c r="X11" s="42" t="s">
        <v>356</v>
      </c>
      <c r="Y11" s="42" t="s">
        <v>371</v>
      </c>
      <c r="Z11" s="42" t="s">
        <v>372</v>
      </c>
      <c r="AA11" s="43" t="s">
        <v>351</v>
      </c>
      <c r="AB11" s="42" t="s">
        <v>708</v>
      </c>
      <c r="AC11" s="192">
        <v>2900000000</v>
      </c>
      <c r="AD11" s="41" t="s">
        <v>50</v>
      </c>
      <c r="AE11" s="41" t="s">
        <v>49</v>
      </c>
      <c r="AF11" s="41"/>
      <c r="AG11" s="41"/>
      <c r="AH11" s="708"/>
      <c r="AI11" s="708"/>
      <c r="AJ11" s="41"/>
      <c r="AK11" s="41"/>
      <c r="AL11" s="41"/>
      <c r="AM11" s="711"/>
      <c r="AN11" s="42" t="s">
        <v>260</v>
      </c>
      <c r="AO11" s="41" t="s">
        <v>737</v>
      </c>
      <c r="AP11" s="738"/>
      <c r="AQ11" s="738"/>
      <c r="AR11" s="741"/>
      <c r="AS11" s="738"/>
      <c r="AT11" s="738"/>
      <c r="AU11" s="720"/>
      <c r="AV11" s="720"/>
      <c r="AW11" s="3"/>
      <c r="AX11" s="3"/>
      <c r="AY11" s="3"/>
      <c r="AZ11" s="3"/>
      <c r="BA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row>
    <row r="12" spans="1:119" s="111" customFormat="1" ht="57.6">
      <c r="A12" s="38" t="s">
        <v>255</v>
      </c>
      <c r="B12" s="38" t="s">
        <v>196</v>
      </c>
      <c r="C12" s="39" t="s">
        <v>355</v>
      </c>
      <c r="D12" s="38" t="s">
        <v>206</v>
      </c>
      <c r="E12" s="38" t="s">
        <v>260</v>
      </c>
      <c r="F12" s="40">
        <v>2024130010112</v>
      </c>
      <c r="G12" s="139" t="s">
        <v>271</v>
      </c>
      <c r="H12" s="38" t="s">
        <v>281</v>
      </c>
      <c r="I12" s="38" t="s">
        <v>235</v>
      </c>
      <c r="J12" s="170">
        <v>0.35</v>
      </c>
      <c r="K12" s="116">
        <v>0.25</v>
      </c>
      <c r="L12" s="139" t="s">
        <v>497</v>
      </c>
      <c r="M12" s="41"/>
      <c r="N12" s="139" t="s">
        <v>706</v>
      </c>
      <c r="O12" s="139">
        <v>0.27</v>
      </c>
      <c r="P12" s="211">
        <v>0.73</v>
      </c>
      <c r="Q12" s="41">
        <v>0.35</v>
      </c>
      <c r="R12" s="255">
        <f t="shared" ref="R12:R38" si="1">+Q12/P12</f>
        <v>0.47945205479452052</v>
      </c>
      <c r="S12" s="190">
        <v>45660</v>
      </c>
      <c r="T12" s="190">
        <v>46022</v>
      </c>
      <c r="U12" s="191">
        <f t="shared" si="0"/>
        <v>362</v>
      </c>
      <c r="V12" s="41" t="s">
        <v>349</v>
      </c>
      <c r="W12" s="42" t="s">
        <v>352</v>
      </c>
      <c r="X12" s="42" t="s">
        <v>356</v>
      </c>
      <c r="Y12" s="45" t="s">
        <v>370</v>
      </c>
      <c r="Z12" s="44" t="s">
        <v>373</v>
      </c>
      <c r="AA12" s="43" t="s">
        <v>351</v>
      </c>
      <c r="AB12" s="42" t="s">
        <v>593</v>
      </c>
      <c r="AC12" s="192">
        <v>10000000</v>
      </c>
      <c r="AD12" s="41" t="s">
        <v>55</v>
      </c>
      <c r="AE12" s="41" t="s">
        <v>49</v>
      </c>
      <c r="AF12" s="41"/>
      <c r="AG12" s="41"/>
      <c r="AH12" s="708"/>
      <c r="AI12" s="708"/>
      <c r="AJ12" s="41"/>
      <c r="AK12" s="41"/>
      <c r="AL12" s="41"/>
      <c r="AM12" s="711"/>
      <c r="AN12" s="42" t="s">
        <v>260</v>
      </c>
      <c r="AO12" s="41" t="s">
        <v>737</v>
      </c>
      <c r="AP12" s="738"/>
      <c r="AQ12" s="738"/>
      <c r="AR12" s="741"/>
      <c r="AS12" s="738"/>
      <c r="AT12" s="738"/>
      <c r="AU12" s="720"/>
      <c r="AV12" s="720"/>
      <c r="AW12" s="3"/>
      <c r="AX12" s="3"/>
      <c r="AY12" s="3"/>
      <c r="AZ12" s="3"/>
      <c r="BA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row>
    <row r="13" spans="1:119" s="111" customFormat="1" ht="139.19999999999999">
      <c r="A13" s="38" t="s">
        <v>255</v>
      </c>
      <c r="B13" s="38" t="s">
        <v>196</v>
      </c>
      <c r="C13" s="39" t="s">
        <v>355</v>
      </c>
      <c r="D13" s="38" t="s">
        <v>207</v>
      </c>
      <c r="E13" s="38" t="s">
        <v>260</v>
      </c>
      <c r="F13" s="40">
        <v>2024130010112</v>
      </c>
      <c r="G13" s="139" t="s">
        <v>271</v>
      </c>
      <c r="H13" s="38" t="s">
        <v>281</v>
      </c>
      <c r="I13" s="45" t="s">
        <v>236</v>
      </c>
      <c r="J13" s="170">
        <v>1</v>
      </c>
      <c r="K13" s="116">
        <v>0.25</v>
      </c>
      <c r="L13" s="139" t="s">
        <v>496</v>
      </c>
      <c r="M13" s="41"/>
      <c r="N13" s="42" t="s">
        <v>634</v>
      </c>
      <c r="O13" s="42">
        <v>2</v>
      </c>
      <c r="P13" s="211">
        <v>4</v>
      </c>
      <c r="Q13" s="41">
        <v>1</v>
      </c>
      <c r="R13" s="254">
        <f t="shared" si="1"/>
        <v>0.25</v>
      </c>
      <c r="S13" s="190">
        <v>45660</v>
      </c>
      <c r="T13" s="190">
        <v>46022</v>
      </c>
      <c r="U13" s="191">
        <f t="shared" si="0"/>
        <v>362</v>
      </c>
      <c r="V13" s="41" t="s">
        <v>349</v>
      </c>
      <c r="W13" s="42" t="s">
        <v>352</v>
      </c>
      <c r="X13" s="42" t="s">
        <v>356</v>
      </c>
      <c r="Y13" s="45" t="s">
        <v>370</v>
      </c>
      <c r="Z13" s="44" t="s">
        <v>373</v>
      </c>
      <c r="AA13" s="43" t="s">
        <v>351</v>
      </c>
      <c r="AB13" s="42" t="s">
        <v>707</v>
      </c>
      <c r="AC13" s="192">
        <v>100000000</v>
      </c>
      <c r="AD13" s="41" t="s">
        <v>50</v>
      </c>
      <c r="AE13" s="41" t="s">
        <v>49</v>
      </c>
      <c r="AF13" s="41"/>
      <c r="AG13" s="41"/>
      <c r="AH13" s="708"/>
      <c r="AI13" s="708"/>
      <c r="AJ13" s="41"/>
      <c r="AK13" s="41"/>
      <c r="AL13" s="41"/>
      <c r="AM13" s="711"/>
      <c r="AN13" s="42" t="s">
        <v>260</v>
      </c>
      <c r="AO13" s="216" t="s">
        <v>739</v>
      </c>
      <c r="AP13" s="738"/>
      <c r="AQ13" s="738"/>
      <c r="AR13" s="741"/>
      <c r="AS13" s="738"/>
      <c r="AT13" s="738"/>
      <c r="AU13" s="720"/>
      <c r="AV13" s="720"/>
      <c r="AW13" s="3"/>
      <c r="AX13" s="3"/>
      <c r="AY13" s="3"/>
      <c r="AZ13" s="3"/>
      <c r="BA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row>
    <row r="14" spans="1:119" s="111" customFormat="1" ht="303.60000000000002">
      <c r="A14" s="38" t="s">
        <v>256</v>
      </c>
      <c r="B14" s="38" t="s">
        <v>196</v>
      </c>
      <c r="C14" s="39" t="s">
        <v>355</v>
      </c>
      <c r="D14" s="38" t="s">
        <v>208</v>
      </c>
      <c r="E14" s="38" t="s">
        <v>260</v>
      </c>
      <c r="F14" s="40">
        <v>2024130010112</v>
      </c>
      <c r="G14" s="139" t="s">
        <v>271</v>
      </c>
      <c r="H14" s="38" t="s">
        <v>284</v>
      </c>
      <c r="I14" s="170" t="s">
        <v>410</v>
      </c>
      <c r="J14" s="170">
        <v>83</v>
      </c>
      <c r="K14" s="116">
        <v>0.25</v>
      </c>
      <c r="L14" s="294" t="s">
        <v>489</v>
      </c>
      <c r="M14" s="41"/>
      <c r="N14" s="293" t="s">
        <v>782</v>
      </c>
      <c r="O14" s="42">
        <v>368</v>
      </c>
      <c r="P14" s="211">
        <v>300</v>
      </c>
      <c r="Q14" s="41">
        <v>83</v>
      </c>
      <c r="R14" s="254">
        <f t="shared" si="1"/>
        <v>0.27666666666666667</v>
      </c>
      <c r="S14" s="190">
        <v>45660</v>
      </c>
      <c r="T14" s="190">
        <v>46022</v>
      </c>
      <c r="U14" s="191">
        <f t="shared" si="0"/>
        <v>362</v>
      </c>
      <c r="V14" s="41" t="s">
        <v>349</v>
      </c>
      <c r="W14" s="42" t="s">
        <v>352</v>
      </c>
      <c r="X14" s="42" t="s">
        <v>356</v>
      </c>
      <c r="Y14" s="42" t="s">
        <v>375</v>
      </c>
      <c r="Z14" s="42" t="s">
        <v>376</v>
      </c>
      <c r="AA14" s="43" t="s">
        <v>351</v>
      </c>
      <c r="AB14" s="42" t="s">
        <v>593</v>
      </c>
      <c r="AC14" s="192">
        <v>200000000</v>
      </c>
      <c r="AD14" s="41" t="s">
        <v>55</v>
      </c>
      <c r="AE14" s="41" t="s">
        <v>49</v>
      </c>
      <c r="AF14" s="41"/>
      <c r="AG14" s="41"/>
      <c r="AH14" s="708"/>
      <c r="AI14" s="708"/>
      <c r="AJ14" s="41"/>
      <c r="AK14" s="41"/>
      <c r="AL14" s="41"/>
      <c r="AM14" s="711"/>
      <c r="AN14" s="42" t="s">
        <v>260</v>
      </c>
      <c r="AO14" s="38" t="s">
        <v>738</v>
      </c>
      <c r="AP14" s="738"/>
      <c r="AQ14" s="738"/>
      <c r="AR14" s="741"/>
      <c r="AS14" s="738"/>
      <c r="AT14" s="738"/>
      <c r="AU14" s="720"/>
      <c r="AV14" s="720"/>
      <c r="AW14" s="3"/>
      <c r="AX14" s="3"/>
      <c r="AY14" s="3"/>
      <c r="AZ14" s="3"/>
      <c r="BA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row>
    <row r="15" spans="1:119" s="111" customFormat="1" ht="139.19999999999999">
      <c r="A15" s="146" t="s">
        <v>256</v>
      </c>
      <c r="B15" s="38" t="s">
        <v>196</v>
      </c>
      <c r="C15" s="39" t="s">
        <v>355</v>
      </c>
      <c r="D15" s="38" t="s">
        <v>208</v>
      </c>
      <c r="E15" s="146" t="s">
        <v>260</v>
      </c>
      <c r="F15" s="147">
        <v>2024130010112</v>
      </c>
      <c r="G15" s="139" t="s">
        <v>271</v>
      </c>
      <c r="H15" s="38" t="s">
        <v>284</v>
      </c>
      <c r="I15" s="170" t="s">
        <v>410</v>
      </c>
      <c r="J15" s="170">
        <v>83</v>
      </c>
      <c r="K15" s="116">
        <v>0.25</v>
      </c>
      <c r="L15" s="293" t="s">
        <v>307</v>
      </c>
      <c r="M15" s="295"/>
      <c r="N15" s="293" t="s">
        <v>783</v>
      </c>
      <c r="O15" s="41">
        <v>368</v>
      </c>
      <c r="P15" s="211">
        <v>300</v>
      </c>
      <c r="Q15" s="41">
        <v>83</v>
      </c>
      <c r="R15" s="255">
        <f t="shared" si="1"/>
        <v>0.27666666666666667</v>
      </c>
      <c r="S15" s="190">
        <v>45660</v>
      </c>
      <c r="T15" s="190">
        <v>46022</v>
      </c>
      <c r="U15" s="191">
        <f t="shared" si="0"/>
        <v>362</v>
      </c>
      <c r="V15" s="41" t="s">
        <v>349</v>
      </c>
      <c r="W15" s="42" t="s">
        <v>352</v>
      </c>
      <c r="X15" s="42" t="s">
        <v>356</v>
      </c>
      <c r="Y15" s="42" t="s">
        <v>375</v>
      </c>
      <c r="Z15" s="42" t="s">
        <v>376</v>
      </c>
      <c r="AA15" s="43" t="s">
        <v>351</v>
      </c>
      <c r="AB15" s="42" t="s">
        <v>593</v>
      </c>
      <c r="AC15" s="192">
        <v>100000000</v>
      </c>
      <c r="AD15" s="41" t="s">
        <v>55</v>
      </c>
      <c r="AE15" s="41" t="s">
        <v>49</v>
      </c>
      <c r="AF15" s="41"/>
      <c r="AG15" s="41"/>
      <c r="AH15" s="708"/>
      <c r="AI15" s="708"/>
      <c r="AJ15" s="108">
        <v>100000000</v>
      </c>
      <c r="AK15" s="41"/>
      <c r="AL15" s="41"/>
      <c r="AM15" s="711"/>
      <c r="AN15" s="42" t="s">
        <v>260</v>
      </c>
      <c r="AO15" s="216" t="s">
        <v>739</v>
      </c>
      <c r="AP15" s="738"/>
      <c r="AQ15" s="738"/>
      <c r="AR15" s="741"/>
      <c r="AS15" s="738"/>
      <c r="AT15" s="738"/>
      <c r="AU15" s="720"/>
      <c r="AV15" s="720"/>
      <c r="AW15" s="3"/>
      <c r="AX15" s="3"/>
      <c r="AY15" s="3"/>
      <c r="AZ15" s="3"/>
      <c r="BA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row>
    <row r="16" spans="1:119" s="111" customFormat="1" ht="208.8">
      <c r="A16" s="146" t="s">
        <v>256</v>
      </c>
      <c r="B16" s="38" t="s">
        <v>196</v>
      </c>
      <c r="C16" s="39" t="s">
        <v>355</v>
      </c>
      <c r="D16" s="38" t="s">
        <v>208</v>
      </c>
      <c r="E16" s="146" t="s">
        <v>260</v>
      </c>
      <c r="F16" s="147">
        <v>2024130010112</v>
      </c>
      <c r="G16" s="139" t="s">
        <v>271</v>
      </c>
      <c r="H16" s="38" t="s">
        <v>284</v>
      </c>
      <c r="I16" s="45" t="s">
        <v>410</v>
      </c>
      <c r="J16" s="170">
        <v>83</v>
      </c>
      <c r="K16" s="116">
        <v>0.25</v>
      </c>
      <c r="L16" s="293" t="s">
        <v>490</v>
      </c>
      <c r="M16" s="295"/>
      <c r="N16" s="293" t="s">
        <v>784</v>
      </c>
      <c r="O16" s="41">
        <v>368</v>
      </c>
      <c r="P16" s="211">
        <v>300</v>
      </c>
      <c r="Q16" s="41">
        <v>83</v>
      </c>
      <c r="R16" s="255">
        <f t="shared" si="1"/>
        <v>0.27666666666666667</v>
      </c>
      <c r="S16" s="190">
        <v>45660</v>
      </c>
      <c r="T16" s="190">
        <v>46022</v>
      </c>
      <c r="U16" s="191">
        <f t="shared" si="0"/>
        <v>362</v>
      </c>
      <c r="V16" s="41" t="s">
        <v>349</v>
      </c>
      <c r="W16" s="42" t="s">
        <v>352</v>
      </c>
      <c r="X16" s="42" t="s">
        <v>356</v>
      </c>
      <c r="Y16" s="42" t="s">
        <v>375</v>
      </c>
      <c r="Z16" s="42" t="s">
        <v>376</v>
      </c>
      <c r="AA16" s="43" t="s">
        <v>351</v>
      </c>
      <c r="AB16" s="42" t="s">
        <v>593</v>
      </c>
      <c r="AC16" s="192">
        <v>150000000</v>
      </c>
      <c r="AD16" s="41" t="s">
        <v>55</v>
      </c>
      <c r="AE16" s="41" t="s">
        <v>49</v>
      </c>
      <c r="AF16" s="41"/>
      <c r="AG16" s="41"/>
      <c r="AH16" s="708"/>
      <c r="AI16" s="708"/>
      <c r="AJ16" s="108">
        <v>100000000</v>
      </c>
      <c r="AK16" s="41"/>
      <c r="AL16" s="41"/>
      <c r="AM16" s="711"/>
      <c r="AN16" s="42" t="s">
        <v>260</v>
      </c>
      <c r="AO16" s="216" t="s">
        <v>740</v>
      </c>
      <c r="AP16" s="738"/>
      <c r="AQ16" s="738"/>
      <c r="AR16" s="741"/>
      <c r="AS16" s="738"/>
      <c r="AT16" s="738"/>
      <c r="AU16" s="720"/>
      <c r="AV16" s="720"/>
      <c r="AW16" s="3"/>
      <c r="AX16" s="3"/>
      <c r="AY16" s="3"/>
      <c r="AZ16" s="3"/>
      <c r="BA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row>
    <row r="17" spans="1:119" s="111" customFormat="1" ht="303.60000000000002">
      <c r="A17" s="146" t="s">
        <v>256</v>
      </c>
      <c r="B17" s="38" t="s">
        <v>196</v>
      </c>
      <c r="C17" s="39" t="s">
        <v>355</v>
      </c>
      <c r="D17" s="38" t="s">
        <v>208</v>
      </c>
      <c r="E17" s="146" t="s">
        <v>260</v>
      </c>
      <c r="F17" s="147">
        <v>2024130010112</v>
      </c>
      <c r="G17" s="139" t="s">
        <v>271</v>
      </c>
      <c r="H17" s="38" t="s">
        <v>284</v>
      </c>
      <c r="I17" s="45" t="s">
        <v>410</v>
      </c>
      <c r="J17" s="170">
        <v>83</v>
      </c>
      <c r="K17" s="116">
        <v>0.25</v>
      </c>
      <c r="L17" s="293" t="s">
        <v>491</v>
      </c>
      <c r="M17" s="41"/>
      <c r="N17" s="42" t="s">
        <v>785</v>
      </c>
      <c r="O17" s="41">
        <v>368</v>
      </c>
      <c r="P17" s="211">
        <v>300</v>
      </c>
      <c r="Q17" s="41">
        <v>83</v>
      </c>
      <c r="R17" s="255">
        <f t="shared" si="1"/>
        <v>0.27666666666666667</v>
      </c>
      <c r="S17" s="190">
        <v>45660</v>
      </c>
      <c r="T17" s="190">
        <v>46022</v>
      </c>
      <c r="U17" s="191">
        <f t="shared" si="0"/>
        <v>362</v>
      </c>
      <c r="V17" s="41" t="s">
        <v>349</v>
      </c>
      <c r="W17" s="42" t="s">
        <v>352</v>
      </c>
      <c r="X17" s="42" t="s">
        <v>356</v>
      </c>
      <c r="Y17" s="42" t="s">
        <v>375</v>
      </c>
      <c r="Z17" s="42" t="s">
        <v>376</v>
      </c>
      <c r="AA17" s="43" t="s">
        <v>351</v>
      </c>
      <c r="AB17" s="42" t="s">
        <v>593</v>
      </c>
      <c r="AC17" s="192">
        <v>1150000000</v>
      </c>
      <c r="AD17" s="41" t="s">
        <v>55</v>
      </c>
      <c r="AE17" s="41" t="s">
        <v>49</v>
      </c>
      <c r="AF17" s="41"/>
      <c r="AG17" s="41"/>
      <c r="AH17" s="708"/>
      <c r="AI17" s="708"/>
      <c r="AJ17" s="108">
        <v>100000000</v>
      </c>
      <c r="AK17" s="41"/>
      <c r="AL17" s="41"/>
      <c r="AM17" s="711"/>
      <c r="AN17" s="42" t="s">
        <v>260</v>
      </c>
      <c r="AO17" s="38" t="s">
        <v>738</v>
      </c>
      <c r="AP17" s="738"/>
      <c r="AQ17" s="738"/>
      <c r="AR17" s="741"/>
      <c r="AS17" s="738"/>
      <c r="AT17" s="738"/>
      <c r="AU17" s="720"/>
      <c r="AV17" s="720"/>
      <c r="AW17" s="3"/>
      <c r="AX17" s="3"/>
      <c r="AY17" s="3"/>
      <c r="AZ17" s="3"/>
      <c r="BA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row>
    <row r="18" spans="1:119" s="111" customFormat="1" ht="139.19999999999999">
      <c r="A18" s="146" t="s">
        <v>256</v>
      </c>
      <c r="B18" s="38" t="s">
        <v>196</v>
      </c>
      <c r="C18" s="39" t="s">
        <v>355</v>
      </c>
      <c r="D18" s="38" t="s">
        <v>208</v>
      </c>
      <c r="E18" s="146" t="s">
        <v>260</v>
      </c>
      <c r="F18" s="147">
        <v>2024130010112</v>
      </c>
      <c r="G18" s="139" t="s">
        <v>271</v>
      </c>
      <c r="H18" s="38" t="s">
        <v>284</v>
      </c>
      <c r="I18" s="45" t="s">
        <v>410</v>
      </c>
      <c r="J18" s="170">
        <v>83</v>
      </c>
      <c r="K18" s="116">
        <v>0.25</v>
      </c>
      <c r="L18" s="293" t="s">
        <v>491</v>
      </c>
      <c r="M18" s="41"/>
      <c r="N18" s="42" t="s">
        <v>786</v>
      </c>
      <c r="O18" s="41">
        <v>368</v>
      </c>
      <c r="P18" s="211">
        <v>300</v>
      </c>
      <c r="Q18" s="41">
        <v>83</v>
      </c>
      <c r="R18" s="255">
        <f t="shared" si="1"/>
        <v>0.27666666666666667</v>
      </c>
      <c r="S18" s="190">
        <v>45660</v>
      </c>
      <c r="T18" s="190">
        <v>46022</v>
      </c>
      <c r="U18" s="191">
        <f t="shared" si="0"/>
        <v>362</v>
      </c>
      <c r="V18" s="41" t="s">
        <v>349</v>
      </c>
      <c r="W18" s="42" t="s">
        <v>352</v>
      </c>
      <c r="X18" s="42" t="s">
        <v>356</v>
      </c>
      <c r="Y18" s="42" t="s">
        <v>375</v>
      </c>
      <c r="Z18" s="42" t="s">
        <v>376</v>
      </c>
      <c r="AA18" s="43" t="s">
        <v>351</v>
      </c>
      <c r="AB18" s="42" t="s">
        <v>709</v>
      </c>
      <c r="AC18" s="192">
        <v>220000000</v>
      </c>
      <c r="AD18" s="41" t="s">
        <v>52</v>
      </c>
      <c r="AE18" s="41" t="s">
        <v>49</v>
      </c>
      <c r="AF18" s="41"/>
      <c r="AG18" s="41"/>
      <c r="AH18" s="708"/>
      <c r="AI18" s="708"/>
      <c r="AJ18" s="108">
        <v>100000000</v>
      </c>
      <c r="AK18" s="41"/>
      <c r="AL18" s="41"/>
      <c r="AM18" s="711"/>
      <c r="AN18" s="42" t="s">
        <v>260</v>
      </c>
      <c r="AO18" s="216" t="s">
        <v>739</v>
      </c>
      <c r="AP18" s="738"/>
      <c r="AQ18" s="738"/>
      <c r="AR18" s="741"/>
      <c r="AS18" s="738"/>
      <c r="AT18" s="738"/>
      <c r="AU18" s="720"/>
      <c r="AV18" s="720"/>
      <c r="AW18" s="3"/>
      <c r="AX18" s="3"/>
      <c r="AY18" s="3"/>
      <c r="AZ18" s="3"/>
      <c r="BA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row>
    <row r="19" spans="1:119" s="111" customFormat="1" ht="208.8">
      <c r="A19" s="146" t="s">
        <v>256</v>
      </c>
      <c r="B19" s="38" t="s">
        <v>196</v>
      </c>
      <c r="C19" s="39" t="s">
        <v>355</v>
      </c>
      <c r="D19" s="38" t="s">
        <v>208</v>
      </c>
      <c r="E19" s="146" t="s">
        <v>260</v>
      </c>
      <c r="F19" s="147">
        <v>2024130010112</v>
      </c>
      <c r="G19" s="139" t="s">
        <v>271</v>
      </c>
      <c r="H19" s="38" t="s">
        <v>284</v>
      </c>
      <c r="I19" s="45" t="s">
        <v>410</v>
      </c>
      <c r="J19" s="170">
        <v>83</v>
      </c>
      <c r="K19" s="116">
        <v>0.25</v>
      </c>
      <c r="L19" s="42" t="s">
        <v>491</v>
      </c>
      <c r="M19" s="41"/>
      <c r="N19" s="42" t="s">
        <v>787</v>
      </c>
      <c r="O19" s="41">
        <v>368</v>
      </c>
      <c r="P19" s="211">
        <v>300</v>
      </c>
      <c r="Q19" s="41">
        <v>83</v>
      </c>
      <c r="R19" s="255">
        <f t="shared" si="1"/>
        <v>0.27666666666666667</v>
      </c>
      <c r="S19" s="190">
        <v>45660</v>
      </c>
      <c r="T19" s="190">
        <v>46022</v>
      </c>
      <c r="U19" s="191">
        <f t="shared" si="0"/>
        <v>362</v>
      </c>
      <c r="V19" s="41" t="s">
        <v>349</v>
      </c>
      <c r="W19" s="42" t="s">
        <v>352</v>
      </c>
      <c r="X19" s="42" t="s">
        <v>356</v>
      </c>
      <c r="Y19" s="42" t="s">
        <v>375</v>
      </c>
      <c r="Z19" s="42" t="s">
        <v>376</v>
      </c>
      <c r="AA19" s="43" t="s">
        <v>351</v>
      </c>
      <c r="AB19" s="42" t="s">
        <v>710</v>
      </c>
      <c r="AC19" s="192">
        <v>3000000000</v>
      </c>
      <c r="AD19" s="42" t="s">
        <v>499</v>
      </c>
      <c r="AE19" s="41" t="s">
        <v>49</v>
      </c>
      <c r="AF19" s="41"/>
      <c r="AG19" s="41"/>
      <c r="AH19" s="708"/>
      <c r="AI19" s="708"/>
      <c r="AJ19" s="108">
        <v>100000000</v>
      </c>
      <c r="AK19" s="41"/>
      <c r="AL19" s="41"/>
      <c r="AM19" s="711"/>
      <c r="AN19" s="42" t="s">
        <v>260</v>
      </c>
      <c r="AO19" s="216" t="s">
        <v>740</v>
      </c>
      <c r="AP19" s="738"/>
      <c r="AQ19" s="738"/>
      <c r="AR19" s="741"/>
      <c r="AS19" s="738"/>
      <c r="AT19" s="738"/>
      <c r="AU19" s="720"/>
      <c r="AV19" s="720"/>
      <c r="AW19" s="3"/>
      <c r="AX19" s="3"/>
      <c r="AY19" s="3"/>
      <c r="AZ19" s="3"/>
      <c r="BA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row>
    <row r="20" spans="1:119" s="111" customFormat="1" ht="303.60000000000002">
      <c r="A20" s="146" t="s">
        <v>256</v>
      </c>
      <c r="B20" s="38" t="s">
        <v>196</v>
      </c>
      <c r="C20" s="39" t="s">
        <v>355</v>
      </c>
      <c r="D20" s="38" t="s">
        <v>208</v>
      </c>
      <c r="E20" s="146" t="s">
        <v>260</v>
      </c>
      <c r="F20" s="147">
        <v>2024130010112</v>
      </c>
      <c r="G20" s="139" t="s">
        <v>271</v>
      </c>
      <c r="H20" s="38" t="s">
        <v>284</v>
      </c>
      <c r="I20" s="45" t="s">
        <v>410</v>
      </c>
      <c r="J20" s="170">
        <v>83</v>
      </c>
      <c r="K20" s="116">
        <v>0.25</v>
      </c>
      <c r="L20" s="42" t="s">
        <v>491</v>
      </c>
      <c r="M20" s="41"/>
      <c r="N20" s="42" t="s">
        <v>786</v>
      </c>
      <c r="O20" s="41">
        <v>368</v>
      </c>
      <c r="P20" s="211">
        <v>300</v>
      </c>
      <c r="Q20" s="41">
        <v>83</v>
      </c>
      <c r="R20" s="255">
        <f t="shared" si="1"/>
        <v>0.27666666666666667</v>
      </c>
      <c r="S20" s="190">
        <v>45660</v>
      </c>
      <c r="T20" s="190">
        <v>46022</v>
      </c>
      <c r="U20" s="191">
        <f t="shared" si="0"/>
        <v>362</v>
      </c>
      <c r="V20" s="41" t="s">
        <v>349</v>
      </c>
      <c r="W20" s="42" t="s">
        <v>352</v>
      </c>
      <c r="X20" s="42" t="s">
        <v>356</v>
      </c>
      <c r="Y20" s="42" t="s">
        <v>375</v>
      </c>
      <c r="Z20" s="42" t="s">
        <v>376</v>
      </c>
      <c r="AA20" s="43" t="s">
        <v>351</v>
      </c>
      <c r="AB20" s="42" t="s">
        <v>711</v>
      </c>
      <c r="AC20" s="192">
        <v>2000000000</v>
      </c>
      <c r="AD20" s="41" t="s">
        <v>50</v>
      </c>
      <c r="AE20" s="41" t="s">
        <v>49</v>
      </c>
      <c r="AF20" s="41"/>
      <c r="AG20" s="41"/>
      <c r="AH20" s="708"/>
      <c r="AI20" s="708"/>
      <c r="AJ20" s="108">
        <v>100000000</v>
      </c>
      <c r="AK20" s="41"/>
      <c r="AL20" s="41"/>
      <c r="AM20" s="711"/>
      <c r="AN20" s="42" t="s">
        <v>260</v>
      </c>
      <c r="AO20" s="38" t="s">
        <v>738</v>
      </c>
      <c r="AP20" s="738"/>
      <c r="AQ20" s="738"/>
      <c r="AR20" s="741"/>
      <c r="AS20" s="738"/>
      <c r="AT20" s="738"/>
      <c r="AU20" s="720"/>
      <c r="AV20" s="720"/>
      <c r="AW20" s="3"/>
      <c r="AX20" s="3"/>
      <c r="AY20" s="3"/>
      <c r="AZ20" s="3"/>
      <c r="BA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row>
    <row r="21" spans="1:119" s="111" customFormat="1" ht="139.19999999999999">
      <c r="A21" s="146" t="s">
        <v>256</v>
      </c>
      <c r="B21" s="38" t="s">
        <v>196</v>
      </c>
      <c r="C21" s="39" t="s">
        <v>355</v>
      </c>
      <c r="D21" s="38" t="s">
        <v>208</v>
      </c>
      <c r="E21" s="146" t="s">
        <v>260</v>
      </c>
      <c r="F21" s="147">
        <v>2024130010112</v>
      </c>
      <c r="G21" s="139" t="s">
        <v>271</v>
      </c>
      <c r="H21" s="38" t="s">
        <v>284</v>
      </c>
      <c r="I21" s="45" t="s">
        <v>410</v>
      </c>
      <c r="J21" s="170">
        <v>83</v>
      </c>
      <c r="K21" s="116">
        <v>0.25</v>
      </c>
      <c r="L21" s="42" t="s">
        <v>493</v>
      </c>
      <c r="M21" s="41"/>
      <c r="N21" s="42" t="s">
        <v>635</v>
      </c>
      <c r="O21" s="41">
        <v>368</v>
      </c>
      <c r="P21" s="211">
        <v>300</v>
      </c>
      <c r="Q21" s="41">
        <v>83</v>
      </c>
      <c r="R21" s="255">
        <f t="shared" si="1"/>
        <v>0.27666666666666667</v>
      </c>
      <c r="S21" s="190">
        <v>45660</v>
      </c>
      <c r="T21" s="190">
        <v>46022</v>
      </c>
      <c r="U21" s="191">
        <f t="shared" si="0"/>
        <v>362</v>
      </c>
      <c r="V21" s="41" t="s">
        <v>349</v>
      </c>
      <c r="W21" s="42" t="s">
        <v>352</v>
      </c>
      <c r="X21" s="42" t="s">
        <v>356</v>
      </c>
      <c r="Y21" s="42" t="s">
        <v>375</v>
      </c>
      <c r="Z21" s="42" t="s">
        <v>376</v>
      </c>
      <c r="AA21" s="43" t="s">
        <v>351</v>
      </c>
      <c r="AB21" s="42" t="s">
        <v>593</v>
      </c>
      <c r="AC21" s="192">
        <v>400000000</v>
      </c>
      <c r="AD21" s="41" t="s">
        <v>55</v>
      </c>
      <c r="AE21" s="41" t="s">
        <v>49</v>
      </c>
      <c r="AF21" s="41"/>
      <c r="AG21" s="41"/>
      <c r="AH21" s="708"/>
      <c r="AI21" s="708"/>
      <c r="AJ21" s="108">
        <v>100000000</v>
      </c>
      <c r="AK21" s="41"/>
      <c r="AL21" s="41"/>
      <c r="AM21" s="711"/>
      <c r="AN21" s="42" t="s">
        <v>260</v>
      </c>
      <c r="AO21" s="216" t="s">
        <v>739</v>
      </c>
      <c r="AP21" s="738"/>
      <c r="AQ21" s="738"/>
      <c r="AR21" s="741"/>
      <c r="AS21" s="738"/>
      <c r="AT21" s="738"/>
      <c r="AU21" s="720"/>
      <c r="AV21" s="720"/>
      <c r="AW21" s="3"/>
      <c r="AX21" s="3"/>
      <c r="AY21" s="3"/>
      <c r="AZ21" s="3"/>
      <c r="BA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row>
    <row r="22" spans="1:119" s="111" customFormat="1" ht="208.8">
      <c r="A22" s="146" t="s">
        <v>256</v>
      </c>
      <c r="B22" s="38" t="s">
        <v>196</v>
      </c>
      <c r="C22" s="39" t="s">
        <v>355</v>
      </c>
      <c r="D22" s="38" t="s">
        <v>208</v>
      </c>
      <c r="E22" s="146" t="s">
        <v>260</v>
      </c>
      <c r="F22" s="147">
        <v>2024130010112</v>
      </c>
      <c r="G22" s="139" t="s">
        <v>271</v>
      </c>
      <c r="H22" s="38" t="s">
        <v>284</v>
      </c>
      <c r="I22" s="45" t="s">
        <v>410</v>
      </c>
      <c r="J22" s="170">
        <v>83</v>
      </c>
      <c r="K22" s="116">
        <v>0.25</v>
      </c>
      <c r="L22" s="42" t="s">
        <v>492</v>
      </c>
      <c r="M22" s="41"/>
      <c r="N22" s="42" t="s">
        <v>635</v>
      </c>
      <c r="O22" s="41">
        <v>368</v>
      </c>
      <c r="P22" s="211">
        <v>300</v>
      </c>
      <c r="Q22" s="41">
        <v>83</v>
      </c>
      <c r="R22" s="255">
        <f t="shared" si="1"/>
        <v>0.27666666666666667</v>
      </c>
      <c r="S22" s="190">
        <v>45660</v>
      </c>
      <c r="T22" s="190">
        <v>46022</v>
      </c>
      <c r="U22" s="191">
        <f t="shared" si="0"/>
        <v>362</v>
      </c>
      <c r="V22" s="41" t="s">
        <v>349</v>
      </c>
      <c r="W22" s="42" t="s">
        <v>352</v>
      </c>
      <c r="X22" s="42" t="s">
        <v>356</v>
      </c>
      <c r="Y22" s="42" t="s">
        <v>375</v>
      </c>
      <c r="Z22" s="42" t="s">
        <v>376</v>
      </c>
      <c r="AA22" s="43" t="s">
        <v>351</v>
      </c>
      <c r="AB22" s="42" t="s">
        <v>593</v>
      </c>
      <c r="AC22" s="192">
        <v>1300000000</v>
      </c>
      <c r="AD22" s="41" t="s">
        <v>55</v>
      </c>
      <c r="AE22" s="41" t="s">
        <v>49</v>
      </c>
      <c r="AF22" s="41"/>
      <c r="AG22" s="41"/>
      <c r="AH22" s="708"/>
      <c r="AI22" s="708"/>
      <c r="AJ22" s="108">
        <v>100000000</v>
      </c>
      <c r="AK22" s="41"/>
      <c r="AL22" s="41"/>
      <c r="AM22" s="711"/>
      <c r="AN22" s="42" t="s">
        <v>260</v>
      </c>
      <c r="AO22" s="216" t="s">
        <v>740</v>
      </c>
      <c r="AP22" s="738"/>
      <c r="AQ22" s="738"/>
      <c r="AR22" s="741"/>
      <c r="AS22" s="738"/>
      <c r="AT22" s="738"/>
      <c r="AU22" s="720"/>
      <c r="AV22" s="720"/>
      <c r="AW22" s="3"/>
      <c r="AX22" s="3"/>
      <c r="AY22" s="3"/>
      <c r="AZ22" s="3"/>
      <c r="BA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row>
    <row r="23" spans="1:119" s="111" customFormat="1" ht="303.60000000000002">
      <c r="A23" s="146" t="s">
        <v>256</v>
      </c>
      <c r="B23" s="38" t="s">
        <v>196</v>
      </c>
      <c r="C23" s="39" t="s">
        <v>355</v>
      </c>
      <c r="D23" s="38" t="s">
        <v>208</v>
      </c>
      <c r="E23" s="146" t="s">
        <v>260</v>
      </c>
      <c r="F23" s="147">
        <v>2024130010112</v>
      </c>
      <c r="G23" s="139" t="s">
        <v>271</v>
      </c>
      <c r="H23" s="38" t="s">
        <v>284</v>
      </c>
      <c r="I23" s="45" t="s">
        <v>410</v>
      </c>
      <c r="J23" s="170">
        <v>83</v>
      </c>
      <c r="K23" s="116">
        <v>0.25</v>
      </c>
      <c r="L23" s="42" t="s">
        <v>492</v>
      </c>
      <c r="M23" s="41"/>
      <c r="N23" s="42" t="s">
        <v>635</v>
      </c>
      <c r="O23" s="41">
        <v>368</v>
      </c>
      <c r="P23" s="211">
        <v>300</v>
      </c>
      <c r="Q23" s="41">
        <v>83</v>
      </c>
      <c r="R23" s="255">
        <f t="shared" si="1"/>
        <v>0.27666666666666667</v>
      </c>
      <c r="S23" s="190">
        <v>45660</v>
      </c>
      <c r="T23" s="190">
        <v>46022</v>
      </c>
      <c r="U23" s="191">
        <f t="shared" si="0"/>
        <v>362</v>
      </c>
      <c r="V23" s="41" t="s">
        <v>349</v>
      </c>
      <c r="W23" s="42" t="s">
        <v>352</v>
      </c>
      <c r="X23" s="42" t="s">
        <v>356</v>
      </c>
      <c r="Y23" s="42" t="s">
        <v>375</v>
      </c>
      <c r="Z23" s="42" t="s">
        <v>376</v>
      </c>
      <c r="AA23" s="43" t="s">
        <v>351</v>
      </c>
      <c r="AB23" s="42" t="s">
        <v>594</v>
      </c>
      <c r="AC23" s="192">
        <v>200000000</v>
      </c>
      <c r="AD23" s="41" t="s">
        <v>56</v>
      </c>
      <c r="AE23" s="41" t="s">
        <v>49</v>
      </c>
      <c r="AF23" s="41"/>
      <c r="AG23" s="41"/>
      <c r="AH23" s="708"/>
      <c r="AI23" s="708"/>
      <c r="AJ23" s="108">
        <v>100000000</v>
      </c>
      <c r="AK23" s="41"/>
      <c r="AL23" s="41"/>
      <c r="AM23" s="711"/>
      <c r="AN23" s="42" t="s">
        <v>260</v>
      </c>
      <c r="AO23" s="38" t="s">
        <v>738</v>
      </c>
      <c r="AP23" s="738"/>
      <c r="AQ23" s="738"/>
      <c r="AR23" s="741"/>
      <c r="AS23" s="738"/>
      <c r="AT23" s="738"/>
      <c r="AU23" s="720"/>
      <c r="AV23" s="720"/>
      <c r="AW23" s="3"/>
      <c r="AX23" s="3"/>
      <c r="AY23" s="3"/>
      <c r="AZ23" s="3"/>
      <c r="BA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row>
    <row r="24" spans="1:119" s="111" customFormat="1" ht="139.19999999999999">
      <c r="A24" s="146" t="s">
        <v>256</v>
      </c>
      <c r="B24" s="38" t="s">
        <v>196</v>
      </c>
      <c r="C24" s="39" t="s">
        <v>355</v>
      </c>
      <c r="D24" s="38" t="s">
        <v>208</v>
      </c>
      <c r="E24" s="146" t="s">
        <v>260</v>
      </c>
      <c r="F24" s="147">
        <v>2024130010112</v>
      </c>
      <c r="G24" s="139" t="s">
        <v>271</v>
      </c>
      <c r="H24" s="38" t="s">
        <v>284</v>
      </c>
      <c r="I24" s="45" t="s">
        <v>410</v>
      </c>
      <c r="J24" s="170">
        <v>83</v>
      </c>
      <c r="K24" s="116">
        <v>0.25</v>
      </c>
      <c r="L24" s="42" t="s">
        <v>492</v>
      </c>
      <c r="M24" s="41"/>
      <c r="N24" s="42" t="s">
        <v>635</v>
      </c>
      <c r="O24" s="41">
        <v>368</v>
      </c>
      <c r="P24" s="211">
        <v>300</v>
      </c>
      <c r="Q24" s="41">
        <v>83</v>
      </c>
      <c r="R24" s="255">
        <f t="shared" si="1"/>
        <v>0.27666666666666667</v>
      </c>
      <c r="S24" s="190">
        <v>45660</v>
      </c>
      <c r="T24" s="190">
        <v>46022</v>
      </c>
      <c r="U24" s="191">
        <f t="shared" si="0"/>
        <v>362</v>
      </c>
      <c r="V24" s="41" t="s">
        <v>349</v>
      </c>
      <c r="W24" s="42" t="s">
        <v>352</v>
      </c>
      <c r="X24" s="42" t="s">
        <v>356</v>
      </c>
      <c r="Y24" s="42" t="s">
        <v>375</v>
      </c>
      <c r="Z24" s="42" t="s">
        <v>376</v>
      </c>
      <c r="AA24" s="43" t="s">
        <v>351</v>
      </c>
      <c r="AB24" s="42" t="s">
        <v>712</v>
      </c>
      <c r="AC24" s="192">
        <v>50000000</v>
      </c>
      <c r="AD24" s="41" t="s">
        <v>56</v>
      </c>
      <c r="AE24" s="41" t="s">
        <v>49</v>
      </c>
      <c r="AF24" s="41"/>
      <c r="AG24" s="41"/>
      <c r="AH24" s="708"/>
      <c r="AI24" s="708"/>
      <c r="AJ24" s="108">
        <v>100000000</v>
      </c>
      <c r="AK24" s="41"/>
      <c r="AL24" s="41"/>
      <c r="AM24" s="711"/>
      <c r="AN24" s="42" t="s">
        <v>260</v>
      </c>
      <c r="AO24" s="216" t="s">
        <v>739</v>
      </c>
      <c r="AP24" s="738"/>
      <c r="AQ24" s="738"/>
      <c r="AR24" s="741"/>
      <c r="AS24" s="738"/>
      <c r="AT24" s="738"/>
      <c r="AU24" s="720"/>
      <c r="AV24" s="720"/>
      <c r="AW24" s="3"/>
      <c r="AX24" s="3"/>
      <c r="AY24" s="3"/>
      <c r="AZ24" s="3"/>
      <c r="BA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row>
    <row r="25" spans="1:119" s="111" customFormat="1" ht="208.8">
      <c r="A25" s="146" t="s">
        <v>256</v>
      </c>
      <c r="B25" s="38" t="s">
        <v>196</v>
      </c>
      <c r="C25" s="39" t="s">
        <v>355</v>
      </c>
      <c r="D25" s="38" t="s">
        <v>208</v>
      </c>
      <c r="E25" s="146" t="s">
        <v>260</v>
      </c>
      <c r="F25" s="147">
        <v>2024130010112</v>
      </c>
      <c r="G25" s="139" t="s">
        <v>271</v>
      </c>
      <c r="H25" s="38" t="s">
        <v>284</v>
      </c>
      <c r="I25" s="45" t="s">
        <v>410</v>
      </c>
      <c r="J25" s="170">
        <v>83</v>
      </c>
      <c r="K25" s="116">
        <v>0.25</v>
      </c>
      <c r="L25" s="42" t="s">
        <v>492</v>
      </c>
      <c r="M25" s="41"/>
      <c r="N25" s="42" t="s">
        <v>635</v>
      </c>
      <c r="O25" s="42">
        <v>368</v>
      </c>
      <c r="P25" s="211">
        <v>300</v>
      </c>
      <c r="Q25" s="41">
        <v>83</v>
      </c>
      <c r="R25" s="255">
        <f t="shared" si="1"/>
        <v>0.27666666666666667</v>
      </c>
      <c r="S25" s="190">
        <v>45660</v>
      </c>
      <c r="T25" s="190">
        <v>46022</v>
      </c>
      <c r="U25" s="191">
        <f t="shared" si="0"/>
        <v>362</v>
      </c>
      <c r="V25" s="41" t="s">
        <v>349</v>
      </c>
      <c r="W25" s="42" t="s">
        <v>352</v>
      </c>
      <c r="X25" s="42" t="s">
        <v>356</v>
      </c>
      <c r="Y25" s="42" t="s">
        <v>375</v>
      </c>
      <c r="Z25" s="42" t="s">
        <v>376</v>
      </c>
      <c r="AA25" s="43" t="s">
        <v>351</v>
      </c>
      <c r="AB25" s="42" t="s">
        <v>713</v>
      </c>
      <c r="AC25" s="192">
        <v>10000000</v>
      </c>
      <c r="AD25" s="41" t="s">
        <v>56</v>
      </c>
      <c r="AE25" s="41" t="s">
        <v>49</v>
      </c>
      <c r="AF25" s="41"/>
      <c r="AG25" s="41"/>
      <c r="AH25" s="708"/>
      <c r="AI25" s="708"/>
      <c r="AJ25" s="41"/>
      <c r="AK25" s="41"/>
      <c r="AL25" s="41"/>
      <c r="AM25" s="711"/>
      <c r="AN25" s="42" t="s">
        <v>260</v>
      </c>
      <c r="AO25" s="216" t="s">
        <v>740</v>
      </c>
      <c r="AP25" s="738"/>
      <c r="AQ25" s="738"/>
      <c r="AR25" s="741"/>
      <c r="AS25" s="738"/>
      <c r="AT25" s="738"/>
      <c r="AU25" s="720"/>
      <c r="AV25" s="720"/>
      <c r="AW25" s="3"/>
      <c r="AX25" s="3"/>
      <c r="AY25" s="3"/>
      <c r="AZ25" s="3"/>
      <c r="BA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row>
    <row r="26" spans="1:119" s="111" customFormat="1" ht="303.60000000000002">
      <c r="A26" s="146" t="s">
        <v>256</v>
      </c>
      <c r="B26" s="38" t="s">
        <v>196</v>
      </c>
      <c r="C26" s="39" t="s">
        <v>355</v>
      </c>
      <c r="D26" s="38" t="s">
        <v>208</v>
      </c>
      <c r="E26" s="146" t="s">
        <v>260</v>
      </c>
      <c r="F26" s="147">
        <v>2024130010112</v>
      </c>
      <c r="G26" s="139" t="s">
        <v>271</v>
      </c>
      <c r="H26" s="38" t="s">
        <v>284</v>
      </c>
      <c r="I26" s="45" t="s">
        <v>410</v>
      </c>
      <c r="J26" s="170">
        <v>83</v>
      </c>
      <c r="K26" s="116">
        <v>0.25</v>
      </c>
      <c r="L26" s="42" t="s">
        <v>492</v>
      </c>
      <c r="M26" s="41"/>
      <c r="N26" s="42" t="s">
        <v>635</v>
      </c>
      <c r="O26" s="41">
        <v>368</v>
      </c>
      <c r="P26" s="211">
        <v>300</v>
      </c>
      <c r="Q26" s="41">
        <v>83</v>
      </c>
      <c r="R26" s="255">
        <f t="shared" si="1"/>
        <v>0.27666666666666667</v>
      </c>
      <c r="S26" s="190">
        <v>45660</v>
      </c>
      <c r="T26" s="190">
        <v>46022</v>
      </c>
      <c r="U26" s="191">
        <f t="shared" si="0"/>
        <v>362</v>
      </c>
      <c r="V26" s="41" t="s">
        <v>349</v>
      </c>
      <c r="W26" s="42" t="s">
        <v>352</v>
      </c>
      <c r="X26" s="42" t="s">
        <v>356</v>
      </c>
      <c r="Y26" s="42" t="s">
        <v>375</v>
      </c>
      <c r="Z26" s="42" t="s">
        <v>376</v>
      </c>
      <c r="AA26" s="43" t="s">
        <v>351</v>
      </c>
      <c r="AB26" s="42" t="s">
        <v>714</v>
      </c>
      <c r="AC26" s="192">
        <v>55000000</v>
      </c>
      <c r="AD26" s="41" t="s">
        <v>56</v>
      </c>
      <c r="AE26" s="41" t="s">
        <v>49</v>
      </c>
      <c r="AF26" s="41"/>
      <c r="AG26" s="41"/>
      <c r="AH26" s="708"/>
      <c r="AI26" s="708"/>
      <c r="AJ26" s="41"/>
      <c r="AK26" s="41"/>
      <c r="AL26" s="41"/>
      <c r="AM26" s="711"/>
      <c r="AN26" s="42" t="s">
        <v>260</v>
      </c>
      <c r="AO26" s="38" t="s">
        <v>738</v>
      </c>
      <c r="AP26" s="738"/>
      <c r="AQ26" s="738"/>
      <c r="AR26" s="741"/>
      <c r="AS26" s="738"/>
      <c r="AT26" s="738"/>
      <c r="AU26" s="720"/>
      <c r="AV26" s="720"/>
      <c r="AW26" s="3"/>
      <c r="AX26" s="3"/>
      <c r="AY26" s="3"/>
      <c r="AZ26" s="3"/>
      <c r="BA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row>
    <row r="27" spans="1:119" s="111" customFormat="1" ht="139.19999999999999">
      <c r="A27" s="146" t="s">
        <v>256</v>
      </c>
      <c r="B27" s="38" t="s">
        <v>196</v>
      </c>
      <c r="C27" s="39" t="s">
        <v>355</v>
      </c>
      <c r="D27" s="38" t="s">
        <v>208</v>
      </c>
      <c r="E27" s="146" t="s">
        <v>260</v>
      </c>
      <c r="F27" s="147">
        <v>2024130010112</v>
      </c>
      <c r="G27" s="139" t="s">
        <v>271</v>
      </c>
      <c r="H27" s="38" t="s">
        <v>284</v>
      </c>
      <c r="I27" s="45" t="s">
        <v>410</v>
      </c>
      <c r="J27" s="170">
        <v>83</v>
      </c>
      <c r="K27" s="116">
        <v>0.25</v>
      </c>
      <c r="L27" s="42" t="s">
        <v>492</v>
      </c>
      <c r="M27" s="41"/>
      <c r="N27" s="42" t="s">
        <v>635</v>
      </c>
      <c r="O27" s="42">
        <v>368</v>
      </c>
      <c r="P27" s="211">
        <v>300</v>
      </c>
      <c r="Q27" s="41">
        <v>83</v>
      </c>
      <c r="R27" s="255">
        <f t="shared" si="1"/>
        <v>0.27666666666666667</v>
      </c>
      <c r="S27" s="190">
        <v>45660</v>
      </c>
      <c r="T27" s="190">
        <v>46022</v>
      </c>
      <c r="U27" s="191">
        <f t="shared" si="0"/>
        <v>362</v>
      </c>
      <c r="V27" s="41" t="s">
        <v>349</v>
      </c>
      <c r="W27" s="42" t="s">
        <v>352</v>
      </c>
      <c r="X27" s="42" t="s">
        <v>356</v>
      </c>
      <c r="Y27" s="42" t="s">
        <v>375</v>
      </c>
      <c r="Z27" s="42" t="s">
        <v>376</v>
      </c>
      <c r="AA27" s="43" t="s">
        <v>351</v>
      </c>
      <c r="AB27" s="42" t="s">
        <v>715</v>
      </c>
      <c r="AC27" s="192">
        <v>220000000</v>
      </c>
      <c r="AD27" s="41" t="s">
        <v>56</v>
      </c>
      <c r="AE27" s="41" t="s">
        <v>49</v>
      </c>
      <c r="AF27" s="41"/>
      <c r="AG27" s="41"/>
      <c r="AH27" s="708"/>
      <c r="AI27" s="708"/>
      <c r="AJ27" s="108">
        <v>540871914</v>
      </c>
      <c r="AK27" s="41"/>
      <c r="AL27" s="41"/>
      <c r="AM27" s="711"/>
      <c r="AN27" s="42" t="s">
        <v>260</v>
      </c>
      <c r="AO27" s="216" t="s">
        <v>739</v>
      </c>
      <c r="AP27" s="738"/>
      <c r="AQ27" s="738"/>
      <c r="AR27" s="741"/>
      <c r="AS27" s="738"/>
      <c r="AT27" s="738"/>
      <c r="AU27" s="720"/>
      <c r="AV27" s="720"/>
      <c r="AW27" s="3"/>
      <c r="AX27" s="3"/>
      <c r="AY27" s="3"/>
      <c r="AZ27" s="3"/>
      <c r="BA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row>
    <row r="28" spans="1:119" s="111" customFormat="1" ht="208.8">
      <c r="A28" s="38" t="s">
        <v>256</v>
      </c>
      <c r="B28" s="38" t="s">
        <v>196</v>
      </c>
      <c r="C28" s="39" t="s">
        <v>355</v>
      </c>
      <c r="D28" s="38" t="s">
        <v>208</v>
      </c>
      <c r="E28" s="38" t="s">
        <v>260</v>
      </c>
      <c r="F28" s="40">
        <v>2024130010112</v>
      </c>
      <c r="G28" s="139" t="s">
        <v>271</v>
      </c>
      <c r="H28" s="38" t="s">
        <v>284</v>
      </c>
      <c r="I28" s="45" t="s">
        <v>410</v>
      </c>
      <c r="J28" s="170">
        <v>83</v>
      </c>
      <c r="K28" s="116">
        <v>0.25</v>
      </c>
      <c r="L28" s="42" t="s">
        <v>492</v>
      </c>
      <c r="M28" s="41"/>
      <c r="N28" s="42" t="s">
        <v>635</v>
      </c>
      <c r="O28" s="42">
        <v>368</v>
      </c>
      <c r="P28" s="211">
        <v>300</v>
      </c>
      <c r="Q28" s="41">
        <v>83</v>
      </c>
      <c r="R28" s="255">
        <f t="shared" si="1"/>
        <v>0.27666666666666667</v>
      </c>
      <c r="S28" s="190">
        <v>45660</v>
      </c>
      <c r="T28" s="190">
        <v>46022</v>
      </c>
      <c r="U28" s="191">
        <f t="shared" si="0"/>
        <v>362</v>
      </c>
      <c r="V28" s="41" t="s">
        <v>349</v>
      </c>
      <c r="W28" s="42" t="s">
        <v>352</v>
      </c>
      <c r="X28" s="42" t="s">
        <v>356</v>
      </c>
      <c r="Y28" s="42" t="s">
        <v>375</v>
      </c>
      <c r="Z28" s="42" t="s">
        <v>376</v>
      </c>
      <c r="AA28" s="43" t="s">
        <v>351</v>
      </c>
      <c r="AB28" s="42" t="s">
        <v>604</v>
      </c>
      <c r="AC28" s="192">
        <v>280000000</v>
      </c>
      <c r="AD28" s="41" t="s">
        <v>56</v>
      </c>
      <c r="AE28" s="41" t="s">
        <v>49</v>
      </c>
      <c r="AF28" s="41"/>
      <c r="AG28" s="41"/>
      <c r="AH28" s="708"/>
      <c r="AI28" s="708"/>
      <c r="AJ28" s="41"/>
      <c r="AK28" s="41"/>
      <c r="AL28" s="41"/>
      <c r="AM28" s="711"/>
      <c r="AN28" s="42" t="s">
        <v>260</v>
      </c>
      <c r="AO28" s="216" t="s">
        <v>740</v>
      </c>
      <c r="AP28" s="738"/>
      <c r="AQ28" s="738"/>
      <c r="AR28" s="741"/>
      <c r="AS28" s="738"/>
      <c r="AT28" s="738"/>
      <c r="AU28" s="720"/>
      <c r="AV28" s="720"/>
      <c r="AW28" s="3"/>
      <c r="AX28" s="3"/>
      <c r="AY28" s="3"/>
      <c r="AZ28" s="3"/>
      <c r="BA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row>
    <row r="29" spans="1:119" s="111" customFormat="1" ht="303.60000000000002">
      <c r="A29" s="146" t="s">
        <v>256</v>
      </c>
      <c r="B29" s="38" t="s">
        <v>196</v>
      </c>
      <c r="C29" s="39" t="s">
        <v>355</v>
      </c>
      <c r="D29" s="38" t="s">
        <v>208</v>
      </c>
      <c r="E29" s="146" t="s">
        <v>260</v>
      </c>
      <c r="F29" s="147">
        <v>2024130010112</v>
      </c>
      <c r="G29" s="139" t="s">
        <v>271</v>
      </c>
      <c r="H29" s="38" t="s">
        <v>284</v>
      </c>
      <c r="I29" s="45" t="s">
        <v>410</v>
      </c>
      <c r="J29" s="170">
        <v>83</v>
      </c>
      <c r="K29" s="116">
        <v>0.25</v>
      </c>
      <c r="L29" s="42" t="s">
        <v>492</v>
      </c>
      <c r="M29" s="41"/>
      <c r="N29" s="42" t="s">
        <v>635</v>
      </c>
      <c r="O29" s="42">
        <v>368</v>
      </c>
      <c r="P29" s="211">
        <v>300</v>
      </c>
      <c r="Q29" s="41">
        <v>83</v>
      </c>
      <c r="R29" s="255">
        <f t="shared" si="1"/>
        <v>0.27666666666666667</v>
      </c>
      <c r="S29" s="190">
        <v>45660</v>
      </c>
      <c r="T29" s="190">
        <v>46022</v>
      </c>
      <c r="U29" s="191">
        <f t="shared" si="0"/>
        <v>362</v>
      </c>
      <c r="V29" s="41" t="s">
        <v>349</v>
      </c>
      <c r="W29" s="42" t="s">
        <v>352</v>
      </c>
      <c r="X29" s="42" t="s">
        <v>356</v>
      </c>
      <c r="Y29" s="42" t="s">
        <v>375</v>
      </c>
      <c r="Z29" s="42" t="s">
        <v>376</v>
      </c>
      <c r="AA29" s="43" t="s">
        <v>351</v>
      </c>
      <c r="AB29" s="42" t="s">
        <v>716</v>
      </c>
      <c r="AC29" s="192">
        <v>300000000</v>
      </c>
      <c r="AD29" s="41" t="s">
        <v>52</v>
      </c>
      <c r="AE29" s="41" t="s">
        <v>49</v>
      </c>
      <c r="AF29" s="41"/>
      <c r="AG29" s="41"/>
      <c r="AH29" s="708"/>
      <c r="AI29" s="708"/>
      <c r="AJ29" s="108">
        <v>100000000</v>
      </c>
      <c r="AK29" s="41"/>
      <c r="AL29" s="41"/>
      <c r="AM29" s="711"/>
      <c r="AN29" s="42" t="s">
        <v>260</v>
      </c>
      <c r="AO29" s="38" t="s">
        <v>738</v>
      </c>
      <c r="AP29" s="738"/>
      <c r="AQ29" s="738"/>
      <c r="AR29" s="741"/>
      <c r="AS29" s="738"/>
      <c r="AT29" s="738"/>
      <c r="AU29" s="720"/>
      <c r="AV29" s="720"/>
      <c r="AW29" s="3"/>
      <c r="AX29" s="3"/>
      <c r="AY29" s="3"/>
      <c r="AZ29" s="3"/>
      <c r="BA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row>
    <row r="30" spans="1:119" s="111" customFormat="1" ht="139.19999999999999">
      <c r="A30" s="146" t="s">
        <v>256</v>
      </c>
      <c r="B30" s="38" t="s">
        <v>196</v>
      </c>
      <c r="C30" s="39" t="s">
        <v>355</v>
      </c>
      <c r="D30" s="38" t="s">
        <v>208</v>
      </c>
      <c r="E30" s="146" t="s">
        <v>260</v>
      </c>
      <c r="F30" s="147">
        <v>2024130010112</v>
      </c>
      <c r="G30" s="139" t="s">
        <v>271</v>
      </c>
      <c r="H30" s="38" t="s">
        <v>284</v>
      </c>
      <c r="I30" s="45" t="s">
        <v>410</v>
      </c>
      <c r="J30" s="170">
        <v>83</v>
      </c>
      <c r="K30" s="116">
        <v>0.25</v>
      </c>
      <c r="L30" s="42" t="s">
        <v>492</v>
      </c>
      <c r="M30" s="41"/>
      <c r="N30" s="42" t="s">
        <v>635</v>
      </c>
      <c r="O30" s="42">
        <v>368</v>
      </c>
      <c r="P30" s="211">
        <v>300</v>
      </c>
      <c r="Q30" s="41"/>
      <c r="R30" s="255">
        <f t="shared" si="1"/>
        <v>0</v>
      </c>
      <c r="S30" s="190">
        <v>45660</v>
      </c>
      <c r="T30" s="190">
        <v>46022</v>
      </c>
      <c r="U30" s="191">
        <f t="shared" si="0"/>
        <v>362</v>
      </c>
      <c r="V30" s="41" t="s">
        <v>349</v>
      </c>
      <c r="W30" s="42" t="s">
        <v>352</v>
      </c>
      <c r="X30" s="42" t="s">
        <v>356</v>
      </c>
      <c r="Y30" s="42" t="s">
        <v>375</v>
      </c>
      <c r="Z30" s="42" t="s">
        <v>376</v>
      </c>
      <c r="AA30" s="43" t="s">
        <v>351</v>
      </c>
      <c r="AB30" s="42" t="s">
        <v>717</v>
      </c>
      <c r="AC30" s="193">
        <v>180000000</v>
      </c>
      <c r="AD30" s="41" t="s">
        <v>52</v>
      </c>
      <c r="AE30" s="41" t="s">
        <v>49</v>
      </c>
      <c r="AF30" s="41"/>
      <c r="AG30" s="41"/>
      <c r="AH30" s="708"/>
      <c r="AI30" s="708"/>
      <c r="AJ30" s="108"/>
      <c r="AK30" s="41"/>
      <c r="AL30" s="41"/>
      <c r="AM30" s="711"/>
      <c r="AN30" s="42" t="s">
        <v>260</v>
      </c>
      <c r="AO30" s="216" t="s">
        <v>739</v>
      </c>
      <c r="AP30" s="738"/>
      <c r="AQ30" s="738"/>
      <c r="AR30" s="741"/>
      <c r="AS30" s="738"/>
      <c r="AT30" s="738"/>
      <c r="AU30" s="720"/>
      <c r="AV30" s="720"/>
      <c r="AW30" s="3"/>
      <c r="AX30" s="3"/>
      <c r="AY30" s="3"/>
      <c r="AZ30" s="3"/>
      <c r="BA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row>
    <row r="31" spans="1:119" s="111" customFormat="1" ht="208.8">
      <c r="A31" s="146" t="s">
        <v>256</v>
      </c>
      <c r="B31" s="38" t="s">
        <v>196</v>
      </c>
      <c r="C31" s="39" t="s">
        <v>355</v>
      </c>
      <c r="D31" s="38" t="s">
        <v>208</v>
      </c>
      <c r="E31" s="146" t="s">
        <v>260</v>
      </c>
      <c r="F31" s="147">
        <v>2024130010112</v>
      </c>
      <c r="G31" s="139" t="s">
        <v>271</v>
      </c>
      <c r="H31" s="38" t="s">
        <v>284</v>
      </c>
      <c r="I31" s="45" t="s">
        <v>410</v>
      </c>
      <c r="J31" s="170">
        <v>368</v>
      </c>
      <c r="K31" s="116">
        <v>0.25</v>
      </c>
      <c r="L31" s="42" t="s">
        <v>492</v>
      </c>
      <c r="M31" s="41"/>
      <c r="N31" s="42" t="s">
        <v>635</v>
      </c>
      <c r="O31" s="42">
        <v>368</v>
      </c>
      <c r="P31" s="211">
        <v>300</v>
      </c>
      <c r="Q31" s="41">
        <v>83</v>
      </c>
      <c r="R31" s="255">
        <f t="shared" si="1"/>
        <v>0.27666666666666667</v>
      </c>
      <c r="S31" s="190">
        <v>45660</v>
      </c>
      <c r="T31" s="190">
        <v>46022</v>
      </c>
      <c r="U31" s="191">
        <f t="shared" si="0"/>
        <v>362</v>
      </c>
      <c r="V31" s="41" t="s">
        <v>349</v>
      </c>
      <c r="W31" s="42" t="s">
        <v>352</v>
      </c>
      <c r="X31" s="42" t="s">
        <v>356</v>
      </c>
      <c r="Y31" s="42" t="s">
        <v>375</v>
      </c>
      <c r="Z31" s="42" t="s">
        <v>376</v>
      </c>
      <c r="AA31" s="43" t="s">
        <v>351</v>
      </c>
      <c r="AB31" s="42" t="s">
        <v>718</v>
      </c>
      <c r="AC31" s="193">
        <v>1590000000</v>
      </c>
      <c r="AD31" s="41" t="s">
        <v>50</v>
      </c>
      <c r="AE31" s="42" t="s">
        <v>679</v>
      </c>
      <c r="AF31" s="41"/>
      <c r="AG31" s="41"/>
      <c r="AH31" s="708"/>
      <c r="AI31" s="708"/>
      <c r="AJ31" s="41"/>
      <c r="AK31" s="41"/>
      <c r="AL31" s="41"/>
      <c r="AM31" s="711"/>
      <c r="AN31" s="42" t="s">
        <v>260</v>
      </c>
      <c r="AO31" s="216" t="s">
        <v>740</v>
      </c>
      <c r="AP31" s="738"/>
      <c r="AQ31" s="738"/>
      <c r="AR31" s="741"/>
      <c r="AS31" s="738"/>
      <c r="AT31" s="738"/>
      <c r="AU31" s="720"/>
      <c r="AV31" s="720"/>
      <c r="AW31" s="3"/>
      <c r="AX31" s="3"/>
      <c r="AY31" s="3"/>
      <c r="AZ31" s="3"/>
      <c r="BA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row>
    <row r="32" spans="1:119" s="111" customFormat="1" ht="303.60000000000002">
      <c r="A32" s="146" t="s">
        <v>256</v>
      </c>
      <c r="B32" s="38" t="s">
        <v>196</v>
      </c>
      <c r="C32" s="39" t="s">
        <v>355</v>
      </c>
      <c r="D32" s="38" t="s">
        <v>208</v>
      </c>
      <c r="E32" s="146" t="s">
        <v>260</v>
      </c>
      <c r="F32" s="147">
        <v>2024130010112</v>
      </c>
      <c r="G32" s="139" t="s">
        <v>271</v>
      </c>
      <c r="H32" s="38" t="s">
        <v>284</v>
      </c>
      <c r="I32" s="45" t="s">
        <v>410</v>
      </c>
      <c r="J32" s="170">
        <v>83</v>
      </c>
      <c r="K32" s="116">
        <v>0.25</v>
      </c>
      <c r="L32" s="42" t="s">
        <v>492</v>
      </c>
      <c r="M32" s="41"/>
      <c r="N32" s="42" t="s">
        <v>635</v>
      </c>
      <c r="O32" s="41">
        <v>368</v>
      </c>
      <c r="P32" s="211">
        <v>300</v>
      </c>
      <c r="Q32" s="41">
        <v>83</v>
      </c>
      <c r="R32" s="255">
        <f t="shared" si="1"/>
        <v>0.27666666666666667</v>
      </c>
      <c r="S32" s="190">
        <v>45660</v>
      </c>
      <c r="T32" s="190">
        <v>46022</v>
      </c>
      <c r="U32" s="191">
        <f t="shared" si="0"/>
        <v>362</v>
      </c>
      <c r="V32" s="41" t="s">
        <v>349</v>
      </c>
      <c r="W32" s="42" t="s">
        <v>352</v>
      </c>
      <c r="X32" s="42" t="s">
        <v>356</v>
      </c>
      <c r="Y32" s="42" t="s">
        <v>375</v>
      </c>
      <c r="Z32" s="42" t="s">
        <v>376</v>
      </c>
      <c r="AA32" s="43" t="s">
        <v>351</v>
      </c>
      <c r="AB32" s="42" t="s">
        <v>719</v>
      </c>
      <c r="AC32" s="193">
        <v>340000000</v>
      </c>
      <c r="AD32" s="41" t="s">
        <v>52</v>
      </c>
      <c r="AE32" s="41" t="s">
        <v>49</v>
      </c>
      <c r="AF32" s="41"/>
      <c r="AG32" s="41"/>
      <c r="AH32" s="708"/>
      <c r="AI32" s="708"/>
      <c r="AJ32" s="108">
        <v>34212738</v>
      </c>
      <c r="AK32" s="41"/>
      <c r="AL32" s="41"/>
      <c r="AM32" s="711"/>
      <c r="AN32" s="42" t="s">
        <v>260</v>
      </c>
      <c r="AO32" s="38" t="s">
        <v>738</v>
      </c>
      <c r="AP32" s="738"/>
      <c r="AQ32" s="738"/>
      <c r="AR32" s="741"/>
      <c r="AS32" s="738"/>
      <c r="AT32" s="738"/>
      <c r="AU32" s="720"/>
      <c r="AV32" s="720"/>
      <c r="AW32" s="3"/>
      <c r="AX32" s="3"/>
      <c r="AY32" s="3"/>
      <c r="AZ32" s="3"/>
      <c r="BA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row>
    <row r="33" spans="1:119" s="111" customFormat="1" ht="139.19999999999999">
      <c r="A33" s="146" t="s">
        <v>256</v>
      </c>
      <c r="B33" s="38" t="s">
        <v>196</v>
      </c>
      <c r="C33" s="39" t="s">
        <v>355</v>
      </c>
      <c r="D33" s="38" t="s">
        <v>208</v>
      </c>
      <c r="E33" s="146" t="s">
        <v>260</v>
      </c>
      <c r="F33" s="147">
        <v>2024130010112</v>
      </c>
      <c r="G33" s="139" t="s">
        <v>271</v>
      </c>
      <c r="H33" s="38" t="s">
        <v>284</v>
      </c>
      <c r="I33" s="45" t="s">
        <v>410</v>
      </c>
      <c r="J33" s="170">
        <v>83</v>
      </c>
      <c r="K33" s="116">
        <v>0.25</v>
      </c>
      <c r="L33" s="42" t="s">
        <v>492</v>
      </c>
      <c r="M33" s="41"/>
      <c r="N33" s="42" t="s">
        <v>635</v>
      </c>
      <c r="O33" s="41">
        <v>368</v>
      </c>
      <c r="P33" s="211">
        <v>300</v>
      </c>
      <c r="Q33" s="41">
        <v>83</v>
      </c>
      <c r="R33" s="255">
        <f t="shared" si="1"/>
        <v>0.27666666666666667</v>
      </c>
      <c r="S33" s="190">
        <v>45660</v>
      </c>
      <c r="T33" s="190">
        <v>46022</v>
      </c>
      <c r="U33" s="191">
        <f t="shared" si="0"/>
        <v>362</v>
      </c>
      <c r="V33" s="41" t="s">
        <v>349</v>
      </c>
      <c r="W33" s="42" t="s">
        <v>352</v>
      </c>
      <c r="X33" s="42" t="s">
        <v>356</v>
      </c>
      <c r="Y33" s="42" t="s">
        <v>375</v>
      </c>
      <c r="Z33" s="42" t="s">
        <v>376</v>
      </c>
      <c r="AA33" s="43" t="s">
        <v>351</v>
      </c>
      <c r="AB33" s="42" t="s">
        <v>595</v>
      </c>
      <c r="AC33" s="193">
        <v>150000000</v>
      </c>
      <c r="AD33" s="41" t="s">
        <v>52</v>
      </c>
      <c r="AE33" s="41" t="s">
        <v>49</v>
      </c>
      <c r="AF33" s="41"/>
      <c r="AG33" s="41"/>
      <c r="AH33" s="708"/>
      <c r="AI33" s="708"/>
      <c r="AJ33" s="41"/>
      <c r="AK33" s="41"/>
      <c r="AL33" s="41"/>
      <c r="AM33" s="711"/>
      <c r="AN33" s="42" t="s">
        <v>260</v>
      </c>
      <c r="AO33" s="216" t="s">
        <v>739</v>
      </c>
      <c r="AP33" s="738"/>
      <c r="AQ33" s="738"/>
      <c r="AR33" s="741"/>
      <c r="AS33" s="738"/>
      <c r="AT33" s="738"/>
      <c r="AU33" s="720"/>
      <c r="AV33" s="720"/>
      <c r="AW33" s="3"/>
      <c r="AX33" s="3"/>
      <c r="AY33" s="3"/>
      <c r="AZ33" s="3"/>
      <c r="BA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row>
    <row r="34" spans="1:119" s="111" customFormat="1" ht="208.8">
      <c r="A34" s="38" t="s">
        <v>256</v>
      </c>
      <c r="B34" s="38" t="s">
        <v>196</v>
      </c>
      <c r="C34" s="39" t="s">
        <v>355</v>
      </c>
      <c r="D34" s="38" t="s">
        <v>208</v>
      </c>
      <c r="E34" s="38" t="s">
        <v>260</v>
      </c>
      <c r="F34" s="40">
        <v>2024130010112</v>
      </c>
      <c r="G34" s="139" t="s">
        <v>271</v>
      </c>
      <c r="H34" s="38" t="s">
        <v>284</v>
      </c>
      <c r="I34" s="45" t="s">
        <v>410</v>
      </c>
      <c r="J34" s="170">
        <v>83</v>
      </c>
      <c r="K34" s="116">
        <v>0.25</v>
      </c>
      <c r="L34" s="42" t="s">
        <v>492</v>
      </c>
      <c r="M34" s="41"/>
      <c r="N34" s="42" t="s">
        <v>635</v>
      </c>
      <c r="O34" s="41">
        <v>368</v>
      </c>
      <c r="P34" s="211">
        <v>300</v>
      </c>
      <c r="Q34" s="41">
        <v>83</v>
      </c>
      <c r="R34" s="255">
        <f t="shared" si="1"/>
        <v>0.27666666666666667</v>
      </c>
      <c r="S34" s="190">
        <v>45660</v>
      </c>
      <c r="T34" s="190">
        <v>46022</v>
      </c>
      <c r="U34" s="191">
        <f t="shared" si="0"/>
        <v>362</v>
      </c>
      <c r="V34" s="41" t="s">
        <v>349</v>
      </c>
      <c r="W34" s="42" t="s">
        <v>352</v>
      </c>
      <c r="X34" s="42" t="s">
        <v>356</v>
      </c>
      <c r="Y34" s="42" t="s">
        <v>375</v>
      </c>
      <c r="Z34" s="42" t="s">
        <v>376</v>
      </c>
      <c r="AA34" s="43" t="s">
        <v>351</v>
      </c>
      <c r="AB34" s="42" t="s">
        <v>720</v>
      </c>
      <c r="AC34" s="192">
        <v>564279515</v>
      </c>
      <c r="AD34" s="41" t="s">
        <v>50</v>
      </c>
      <c r="AE34" s="41" t="s">
        <v>49</v>
      </c>
      <c r="AF34" s="41"/>
      <c r="AG34" s="41"/>
      <c r="AH34" s="708"/>
      <c r="AI34" s="708"/>
      <c r="AJ34" s="41"/>
      <c r="AK34" s="41"/>
      <c r="AL34" s="41"/>
      <c r="AM34" s="711"/>
      <c r="AN34" s="42" t="s">
        <v>260</v>
      </c>
      <c r="AO34" s="216" t="s">
        <v>740</v>
      </c>
      <c r="AP34" s="738"/>
      <c r="AQ34" s="738"/>
      <c r="AR34" s="741"/>
      <c r="AS34" s="738"/>
      <c r="AT34" s="738"/>
      <c r="AU34" s="720"/>
      <c r="AV34" s="720"/>
      <c r="AW34" s="3"/>
      <c r="AX34" s="3"/>
      <c r="AY34" s="3"/>
      <c r="AZ34" s="3"/>
      <c r="BA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row>
    <row r="35" spans="1:119" s="111" customFormat="1" ht="303.60000000000002">
      <c r="A35" s="38" t="s">
        <v>256</v>
      </c>
      <c r="B35" s="38" t="s">
        <v>196</v>
      </c>
      <c r="C35" s="39" t="s">
        <v>355</v>
      </c>
      <c r="D35" s="38" t="s">
        <v>208</v>
      </c>
      <c r="E35" s="38" t="s">
        <v>260</v>
      </c>
      <c r="F35" s="40">
        <v>2024130010112</v>
      </c>
      <c r="G35" s="139" t="s">
        <v>271</v>
      </c>
      <c r="H35" s="38" t="s">
        <v>284</v>
      </c>
      <c r="I35" s="45" t="s">
        <v>410</v>
      </c>
      <c r="J35" s="170">
        <v>83</v>
      </c>
      <c r="K35" s="116">
        <v>0.25</v>
      </c>
      <c r="L35" s="42" t="s">
        <v>492</v>
      </c>
      <c r="M35" s="41"/>
      <c r="N35" s="42" t="s">
        <v>635</v>
      </c>
      <c r="O35" s="41">
        <v>368</v>
      </c>
      <c r="P35" s="211">
        <v>300</v>
      </c>
      <c r="Q35" s="41">
        <v>83</v>
      </c>
      <c r="R35" s="255">
        <f t="shared" si="1"/>
        <v>0.27666666666666667</v>
      </c>
      <c r="S35" s="190">
        <v>45660</v>
      </c>
      <c r="T35" s="190">
        <v>46022</v>
      </c>
      <c r="U35" s="191">
        <f t="shared" si="0"/>
        <v>362</v>
      </c>
      <c r="V35" s="41" t="s">
        <v>349</v>
      </c>
      <c r="W35" s="42" t="s">
        <v>352</v>
      </c>
      <c r="X35" s="42" t="s">
        <v>356</v>
      </c>
      <c r="Y35" s="42" t="s">
        <v>375</v>
      </c>
      <c r="Z35" s="42" t="s">
        <v>376</v>
      </c>
      <c r="AA35" s="43" t="s">
        <v>351</v>
      </c>
      <c r="AB35" s="42" t="s">
        <v>721</v>
      </c>
      <c r="AC35" s="192">
        <v>120000000</v>
      </c>
      <c r="AD35" s="41" t="s">
        <v>52</v>
      </c>
      <c r="AE35" s="41" t="s">
        <v>49</v>
      </c>
      <c r="AF35" s="41"/>
      <c r="AG35" s="41"/>
      <c r="AH35" s="708"/>
      <c r="AI35" s="708"/>
      <c r="AJ35" s="41"/>
      <c r="AK35" s="41"/>
      <c r="AL35" s="41"/>
      <c r="AM35" s="711"/>
      <c r="AN35" s="42" t="s">
        <v>260</v>
      </c>
      <c r="AO35" s="38" t="s">
        <v>738</v>
      </c>
      <c r="AP35" s="738"/>
      <c r="AQ35" s="738"/>
      <c r="AR35" s="741"/>
      <c r="AS35" s="738"/>
      <c r="AT35" s="738"/>
      <c r="AU35" s="720"/>
      <c r="AV35" s="720"/>
      <c r="AW35" s="3"/>
      <c r="AX35" s="3"/>
      <c r="AY35" s="3"/>
      <c r="AZ35" s="3"/>
      <c r="BA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row>
    <row r="36" spans="1:119" s="111" customFormat="1" ht="139.19999999999999">
      <c r="A36" s="38" t="s">
        <v>256</v>
      </c>
      <c r="B36" s="38" t="s">
        <v>196</v>
      </c>
      <c r="C36" s="39" t="s">
        <v>355</v>
      </c>
      <c r="D36" s="38" t="s">
        <v>208</v>
      </c>
      <c r="E36" s="38" t="s">
        <v>260</v>
      </c>
      <c r="F36" s="40">
        <v>2024130010112</v>
      </c>
      <c r="G36" s="139" t="s">
        <v>271</v>
      </c>
      <c r="H36" s="38" t="s">
        <v>284</v>
      </c>
      <c r="I36" s="45" t="s">
        <v>410</v>
      </c>
      <c r="J36" s="170">
        <v>83</v>
      </c>
      <c r="K36" s="116">
        <v>0.25</v>
      </c>
      <c r="L36" s="42" t="s">
        <v>492</v>
      </c>
      <c r="M36" s="41"/>
      <c r="N36" s="42" t="s">
        <v>635</v>
      </c>
      <c r="O36" s="42">
        <v>368</v>
      </c>
      <c r="P36" s="211">
        <v>300</v>
      </c>
      <c r="Q36" s="41">
        <v>83</v>
      </c>
      <c r="R36" s="255">
        <f t="shared" si="1"/>
        <v>0.27666666666666667</v>
      </c>
      <c r="S36" s="190">
        <v>45660</v>
      </c>
      <c r="T36" s="190">
        <v>46022</v>
      </c>
      <c r="U36" s="191">
        <f t="shared" si="0"/>
        <v>362</v>
      </c>
      <c r="V36" s="41" t="s">
        <v>349</v>
      </c>
      <c r="W36" s="42" t="s">
        <v>352</v>
      </c>
      <c r="X36" s="42" t="s">
        <v>356</v>
      </c>
      <c r="Y36" s="42" t="s">
        <v>375</v>
      </c>
      <c r="Z36" s="42" t="s">
        <v>376</v>
      </c>
      <c r="AA36" s="43" t="s">
        <v>351</v>
      </c>
      <c r="AB36" s="42" t="s">
        <v>722</v>
      </c>
      <c r="AC36" s="192">
        <v>10000000</v>
      </c>
      <c r="AD36" s="41" t="s">
        <v>56</v>
      </c>
      <c r="AE36" s="41" t="s">
        <v>49</v>
      </c>
      <c r="AF36" s="41"/>
      <c r="AG36" s="41"/>
      <c r="AH36" s="708"/>
      <c r="AI36" s="708"/>
      <c r="AJ36" s="41"/>
      <c r="AK36" s="41"/>
      <c r="AL36" s="41"/>
      <c r="AM36" s="711"/>
      <c r="AN36" s="42" t="s">
        <v>260</v>
      </c>
      <c r="AO36" s="216" t="s">
        <v>739</v>
      </c>
      <c r="AP36" s="738"/>
      <c r="AQ36" s="738"/>
      <c r="AR36" s="741"/>
      <c r="AS36" s="738"/>
      <c r="AT36" s="738"/>
      <c r="AU36" s="720"/>
      <c r="AV36" s="720"/>
      <c r="AW36" s="3"/>
      <c r="AX36" s="3"/>
      <c r="AY36" s="3"/>
      <c r="AZ36" s="3"/>
      <c r="BA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row>
    <row r="37" spans="1:119" s="111" customFormat="1" ht="208.8">
      <c r="A37" s="38" t="s">
        <v>256</v>
      </c>
      <c r="B37" s="38" t="s">
        <v>196</v>
      </c>
      <c r="C37" s="39" t="s">
        <v>355</v>
      </c>
      <c r="D37" s="38" t="s">
        <v>208</v>
      </c>
      <c r="E37" s="38" t="s">
        <v>260</v>
      </c>
      <c r="F37" s="40">
        <v>2024130010112</v>
      </c>
      <c r="G37" s="139" t="s">
        <v>271</v>
      </c>
      <c r="H37" s="38" t="s">
        <v>284</v>
      </c>
      <c r="I37" s="45" t="s">
        <v>410</v>
      </c>
      <c r="J37" s="170">
        <v>83</v>
      </c>
      <c r="K37" s="116">
        <v>0.25</v>
      </c>
      <c r="L37" s="42" t="s">
        <v>492</v>
      </c>
      <c r="M37" s="41"/>
      <c r="N37" s="42" t="s">
        <v>635</v>
      </c>
      <c r="O37" s="41">
        <v>368</v>
      </c>
      <c r="P37" s="211">
        <v>300</v>
      </c>
      <c r="Q37" s="41">
        <v>83</v>
      </c>
      <c r="R37" s="255">
        <f t="shared" si="1"/>
        <v>0.27666666666666667</v>
      </c>
      <c r="S37" s="190">
        <v>45660</v>
      </c>
      <c r="T37" s="190">
        <v>46022</v>
      </c>
      <c r="U37" s="191">
        <f t="shared" si="0"/>
        <v>362</v>
      </c>
      <c r="V37" s="41" t="s">
        <v>349</v>
      </c>
      <c r="W37" s="42" t="s">
        <v>352</v>
      </c>
      <c r="X37" s="42" t="s">
        <v>356</v>
      </c>
      <c r="Y37" s="42" t="s">
        <v>375</v>
      </c>
      <c r="Z37" s="42" t="s">
        <v>376</v>
      </c>
      <c r="AA37" s="43" t="s">
        <v>351</v>
      </c>
      <c r="AB37" s="42" t="s">
        <v>723</v>
      </c>
      <c r="AC37" s="192">
        <v>50000000</v>
      </c>
      <c r="AD37" s="41" t="s">
        <v>56</v>
      </c>
      <c r="AE37" s="41" t="s">
        <v>49</v>
      </c>
      <c r="AF37" s="41"/>
      <c r="AG37" s="41"/>
      <c r="AH37" s="708"/>
      <c r="AI37" s="708"/>
      <c r="AJ37" s="41"/>
      <c r="AK37" s="41"/>
      <c r="AL37" s="41"/>
      <c r="AM37" s="711"/>
      <c r="AN37" s="42" t="s">
        <v>260</v>
      </c>
      <c r="AO37" s="216" t="s">
        <v>740</v>
      </c>
      <c r="AP37" s="738"/>
      <c r="AQ37" s="738"/>
      <c r="AR37" s="741"/>
      <c r="AS37" s="738"/>
      <c r="AT37" s="738"/>
      <c r="AU37" s="720"/>
      <c r="AV37" s="720"/>
      <c r="AW37" s="3"/>
      <c r="AX37" s="3"/>
      <c r="AY37" s="3"/>
      <c r="AZ37" s="3"/>
      <c r="BA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row>
    <row r="38" spans="1:119" s="111" customFormat="1" ht="303.60000000000002">
      <c r="A38" s="38" t="s">
        <v>256</v>
      </c>
      <c r="B38" s="38" t="s">
        <v>196</v>
      </c>
      <c r="C38" s="39" t="s">
        <v>355</v>
      </c>
      <c r="D38" s="38" t="s">
        <v>208</v>
      </c>
      <c r="E38" s="38" t="s">
        <v>260</v>
      </c>
      <c r="F38" s="40">
        <v>2024130010112</v>
      </c>
      <c r="G38" s="139" t="s">
        <v>271</v>
      </c>
      <c r="H38" s="38" t="s">
        <v>284</v>
      </c>
      <c r="I38" s="45" t="s">
        <v>410</v>
      </c>
      <c r="J38" s="170">
        <v>83</v>
      </c>
      <c r="K38" s="116">
        <v>0.25</v>
      </c>
      <c r="L38" s="42" t="s">
        <v>492</v>
      </c>
      <c r="M38" s="41"/>
      <c r="N38" s="42" t="s">
        <v>635</v>
      </c>
      <c r="O38" s="42">
        <v>368</v>
      </c>
      <c r="P38" s="211">
        <v>300</v>
      </c>
      <c r="Q38" s="41">
        <v>83</v>
      </c>
      <c r="R38" s="255">
        <f t="shared" si="1"/>
        <v>0.27666666666666667</v>
      </c>
      <c r="S38" s="190">
        <v>45660</v>
      </c>
      <c r="T38" s="190">
        <v>46022</v>
      </c>
      <c r="U38" s="191">
        <f t="shared" si="0"/>
        <v>362</v>
      </c>
      <c r="V38" s="41" t="s">
        <v>349</v>
      </c>
      <c r="W38" s="42" t="s">
        <v>352</v>
      </c>
      <c r="X38" s="42" t="s">
        <v>356</v>
      </c>
      <c r="Y38" s="42" t="s">
        <v>375</v>
      </c>
      <c r="Z38" s="42" t="s">
        <v>376</v>
      </c>
      <c r="AA38" s="43" t="s">
        <v>351</v>
      </c>
      <c r="AB38" s="42" t="s">
        <v>724</v>
      </c>
      <c r="AC38" s="192">
        <v>20000000</v>
      </c>
      <c r="AD38" s="41" t="s">
        <v>56</v>
      </c>
      <c r="AE38" s="41" t="s">
        <v>49</v>
      </c>
      <c r="AF38" s="41"/>
      <c r="AG38" s="41"/>
      <c r="AH38" s="709"/>
      <c r="AI38" s="709"/>
      <c r="AJ38" s="108">
        <v>46382752</v>
      </c>
      <c r="AK38" s="41"/>
      <c r="AL38" s="41"/>
      <c r="AM38" s="712"/>
      <c r="AN38" s="42" t="s">
        <v>260</v>
      </c>
      <c r="AO38" s="38" t="s">
        <v>738</v>
      </c>
      <c r="AP38" s="739"/>
      <c r="AQ38" s="739"/>
      <c r="AR38" s="742"/>
      <c r="AS38" s="739"/>
      <c r="AT38" s="739"/>
      <c r="AU38" s="721"/>
      <c r="AV38" s="721"/>
      <c r="AW38" s="3"/>
      <c r="AX38" s="3"/>
      <c r="AY38" s="3"/>
      <c r="AZ38" s="3"/>
      <c r="BA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row>
    <row r="39" spans="1:119" s="111" customFormat="1" ht="57" customHeight="1">
      <c r="A39" s="38"/>
      <c r="B39" s="38"/>
      <c r="C39" s="39"/>
      <c r="D39" s="38"/>
      <c r="E39" s="722" t="s">
        <v>766</v>
      </c>
      <c r="F39" s="723"/>
      <c r="G39" s="723"/>
      <c r="H39" s="723"/>
      <c r="I39" s="723"/>
      <c r="J39" s="723"/>
      <c r="K39" s="723"/>
      <c r="L39" s="723"/>
      <c r="M39" s="723"/>
      <c r="N39" s="723"/>
      <c r="O39" s="723"/>
      <c r="P39" s="723"/>
      <c r="Q39" s="724"/>
      <c r="R39" s="256">
        <f>AVERAGE(R9:R38)</f>
        <v>0.24564840182648393</v>
      </c>
      <c r="S39" s="190"/>
      <c r="T39" s="190"/>
      <c r="U39" s="191"/>
      <c r="V39" s="41"/>
      <c r="W39" s="42"/>
      <c r="X39" s="42"/>
      <c r="Y39" s="42"/>
      <c r="Z39" s="42"/>
      <c r="AA39" s="43"/>
      <c r="AB39" s="42"/>
      <c r="AC39" s="192"/>
      <c r="AD39" s="41"/>
      <c r="AE39" s="41"/>
      <c r="AF39" s="41"/>
      <c r="AG39" s="41"/>
      <c r="AH39" s="221"/>
      <c r="AI39" s="221"/>
      <c r="AJ39" s="108"/>
      <c r="AK39" s="41"/>
      <c r="AL39" s="41"/>
      <c r="AM39" s="217"/>
      <c r="AN39" s="42"/>
      <c r="AO39" s="257" t="s">
        <v>767</v>
      </c>
      <c r="AP39" s="241">
        <f>SUM(AP9)</f>
        <v>33466088720.580002</v>
      </c>
      <c r="AQ39" s="241">
        <f t="shared" ref="AQ39:AT39" si="2">SUM(AQ9)</f>
        <v>11452568124.76</v>
      </c>
      <c r="AR39" s="251">
        <f t="shared" si="2"/>
        <v>0.3422</v>
      </c>
      <c r="AS39" s="241">
        <f t="shared" si="2"/>
        <v>6188370665</v>
      </c>
      <c r="AT39" s="241">
        <f t="shared" si="2"/>
        <v>6188370665</v>
      </c>
      <c r="AU39" s="251">
        <f>+AS39/AP39</f>
        <v>0.18491466740164517</v>
      </c>
      <c r="AV39" s="251">
        <f>+AT39/AP39</f>
        <v>0.18491466740164517</v>
      </c>
      <c r="AW39" s="3"/>
      <c r="AX39" s="3"/>
      <c r="AY39" s="3"/>
      <c r="AZ39" s="3"/>
      <c r="BA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row>
    <row r="40" spans="1:119" s="155" customFormat="1" ht="82.8">
      <c r="A40" s="148" t="s">
        <v>257</v>
      </c>
      <c r="B40" s="46" t="s">
        <v>197</v>
      </c>
      <c r="C40" s="47" t="s">
        <v>357</v>
      </c>
      <c r="D40" s="46" t="s">
        <v>333</v>
      </c>
      <c r="E40" s="148" t="s">
        <v>261</v>
      </c>
      <c r="F40" s="181">
        <v>2024130010133</v>
      </c>
      <c r="G40" s="182" t="s">
        <v>272</v>
      </c>
      <c r="H40" s="46" t="s">
        <v>282</v>
      </c>
      <c r="I40" s="296" t="s">
        <v>238</v>
      </c>
      <c r="J40" s="171">
        <v>5</v>
      </c>
      <c r="K40" s="116">
        <v>0.5</v>
      </c>
      <c r="L40" s="46" t="s">
        <v>290</v>
      </c>
      <c r="M40" s="49"/>
      <c r="N40" s="50" t="s">
        <v>674</v>
      </c>
      <c r="O40" s="50">
        <v>17</v>
      </c>
      <c r="P40" s="211">
        <v>1</v>
      </c>
      <c r="Q40" s="54">
        <v>5</v>
      </c>
      <c r="R40" s="258">
        <v>1</v>
      </c>
      <c r="S40" s="190">
        <v>45660</v>
      </c>
      <c r="T40" s="190">
        <v>46022</v>
      </c>
      <c r="U40" s="191">
        <f t="shared" si="0"/>
        <v>362</v>
      </c>
      <c r="V40" s="49">
        <v>385</v>
      </c>
      <c r="W40" s="50" t="s">
        <v>352</v>
      </c>
      <c r="X40" s="49" t="s">
        <v>359</v>
      </c>
      <c r="Y40" s="50" t="s">
        <v>377</v>
      </c>
      <c r="Z40" s="50" t="s">
        <v>378</v>
      </c>
      <c r="AA40" s="48" t="s">
        <v>351</v>
      </c>
      <c r="AB40" s="46" t="s">
        <v>596</v>
      </c>
      <c r="AC40" s="124">
        <v>75000000</v>
      </c>
      <c r="AD40" s="49" t="s">
        <v>55</v>
      </c>
      <c r="AE40" s="49" t="s">
        <v>49</v>
      </c>
      <c r="AF40" s="49"/>
      <c r="AG40" s="49"/>
      <c r="AH40" s="725">
        <v>2749532737</v>
      </c>
      <c r="AI40" s="725"/>
      <c r="AJ40" s="109"/>
      <c r="AK40" s="49"/>
      <c r="AL40" s="49"/>
      <c r="AM40" s="728" t="s">
        <v>646</v>
      </c>
      <c r="AN40" s="50" t="s">
        <v>261</v>
      </c>
      <c r="AO40" s="50" t="s">
        <v>746</v>
      </c>
      <c r="AP40" s="731">
        <v>2760697332.29</v>
      </c>
      <c r="AQ40" s="731">
        <v>1185418000</v>
      </c>
      <c r="AR40" s="734">
        <v>0.4294</v>
      </c>
      <c r="AS40" s="731">
        <v>0</v>
      </c>
      <c r="AT40" s="731">
        <v>0</v>
      </c>
      <c r="AU40" s="743">
        <v>0</v>
      </c>
      <c r="AV40" s="743">
        <v>0</v>
      </c>
      <c r="AW40" s="3"/>
      <c r="AX40" s="3"/>
      <c r="AY40" s="3"/>
      <c r="AZ40" s="3"/>
      <c r="BA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row>
    <row r="41" spans="1:119" s="155" customFormat="1" ht="82.8">
      <c r="A41" s="148" t="s">
        <v>257</v>
      </c>
      <c r="B41" s="46" t="s">
        <v>197</v>
      </c>
      <c r="C41" s="47" t="s">
        <v>357</v>
      </c>
      <c r="D41" s="46" t="s">
        <v>333</v>
      </c>
      <c r="E41" s="148" t="s">
        <v>261</v>
      </c>
      <c r="F41" s="181">
        <v>2024130010133</v>
      </c>
      <c r="G41" s="182" t="s">
        <v>272</v>
      </c>
      <c r="H41" s="46" t="s">
        <v>282</v>
      </c>
      <c r="I41" s="296" t="s">
        <v>238</v>
      </c>
      <c r="J41" s="171">
        <v>5</v>
      </c>
      <c r="K41" s="116">
        <v>0.5</v>
      </c>
      <c r="L41" s="46" t="s">
        <v>290</v>
      </c>
      <c r="M41" s="49"/>
      <c r="N41" s="50" t="s">
        <v>674</v>
      </c>
      <c r="O41" s="50">
        <v>17</v>
      </c>
      <c r="P41" s="211">
        <v>1</v>
      </c>
      <c r="Q41" s="54">
        <v>5</v>
      </c>
      <c r="R41" s="258">
        <v>1</v>
      </c>
      <c r="S41" s="190">
        <v>45660</v>
      </c>
      <c r="T41" s="190">
        <v>46022</v>
      </c>
      <c r="U41" s="191">
        <f t="shared" si="0"/>
        <v>362</v>
      </c>
      <c r="V41" s="49">
        <v>385</v>
      </c>
      <c r="W41" s="50" t="s">
        <v>352</v>
      </c>
      <c r="X41" s="49" t="s">
        <v>359</v>
      </c>
      <c r="Y41" s="50" t="s">
        <v>377</v>
      </c>
      <c r="Z41" s="50" t="s">
        <v>378</v>
      </c>
      <c r="AA41" s="48" t="s">
        <v>351</v>
      </c>
      <c r="AB41" s="46" t="s">
        <v>675</v>
      </c>
      <c r="AC41" s="124">
        <v>149532737</v>
      </c>
      <c r="AD41" s="50" t="s">
        <v>53</v>
      </c>
      <c r="AE41" s="49" t="s">
        <v>49</v>
      </c>
      <c r="AF41" s="49"/>
      <c r="AG41" s="49"/>
      <c r="AH41" s="726"/>
      <c r="AI41" s="726"/>
      <c r="AJ41" s="109">
        <v>5000000</v>
      </c>
      <c r="AK41" s="49"/>
      <c r="AL41" s="49"/>
      <c r="AM41" s="729"/>
      <c r="AN41" s="50" t="s">
        <v>261</v>
      </c>
      <c r="AO41" s="50" t="s">
        <v>746</v>
      </c>
      <c r="AP41" s="732"/>
      <c r="AQ41" s="732"/>
      <c r="AR41" s="735"/>
      <c r="AS41" s="732"/>
      <c r="AT41" s="732"/>
      <c r="AU41" s="732"/>
      <c r="AV41" s="732"/>
      <c r="AW41" s="3"/>
      <c r="AX41" s="3"/>
      <c r="AY41" s="3"/>
      <c r="AZ41" s="3"/>
      <c r="BA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row>
    <row r="42" spans="1:119" s="155" customFormat="1" ht="82.8">
      <c r="A42" s="148" t="s">
        <v>257</v>
      </c>
      <c r="B42" s="46" t="s">
        <v>197</v>
      </c>
      <c r="C42" s="47" t="s">
        <v>357</v>
      </c>
      <c r="D42" s="46" t="s">
        <v>333</v>
      </c>
      <c r="E42" s="148" t="s">
        <v>261</v>
      </c>
      <c r="F42" s="181">
        <v>2024130010133</v>
      </c>
      <c r="G42" s="182" t="s">
        <v>272</v>
      </c>
      <c r="H42" s="46" t="s">
        <v>282</v>
      </c>
      <c r="I42" s="296" t="s">
        <v>238</v>
      </c>
      <c r="J42" s="171">
        <v>5</v>
      </c>
      <c r="K42" s="116">
        <v>0.5</v>
      </c>
      <c r="L42" s="46" t="s">
        <v>278</v>
      </c>
      <c r="M42" s="49"/>
      <c r="N42" s="50" t="s">
        <v>788</v>
      </c>
      <c r="O42" s="50">
        <v>17</v>
      </c>
      <c r="P42" s="211">
        <v>385</v>
      </c>
      <c r="Q42" s="50">
        <v>5</v>
      </c>
      <c r="R42" s="259">
        <f>+Q42/P42</f>
        <v>1.2987012987012988E-2</v>
      </c>
      <c r="S42" s="190">
        <v>45660</v>
      </c>
      <c r="T42" s="190">
        <v>46022</v>
      </c>
      <c r="U42" s="191">
        <f t="shared" si="0"/>
        <v>362</v>
      </c>
      <c r="V42" s="49">
        <v>385</v>
      </c>
      <c r="W42" s="50" t="s">
        <v>352</v>
      </c>
      <c r="X42" s="49" t="s">
        <v>359</v>
      </c>
      <c r="Y42" s="50" t="s">
        <v>377</v>
      </c>
      <c r="Z42" s="50" t="s">
        <v>378</v>
      </c>
      <c r="AA42" s="48" t="s">
        <v>351</v>
      </c>
      <c r="AB42" s="46" t="s">
        <v>596</v>
      </c>
      <c r="AC42" s="124">
        <v>75000000</v>
      </c>
      <c r="AD42" s="49" t="s">
        <v>55</v>
      </c>
      <c r="AE42" s="49" t="s">
        <v>49</v>
      </c>
      <c r="AF42" s="49"/>
      <c r="AG42" s="49"/>
      <c r="AH42" s="726"/>
      <c r="AI42" s="726"/>
      <c r="AJ42" s="109">
        <v>50000000</v>
      </c>
      <c r="AK42" s="49"/>
      <c r="AL42" s="49"/>
      <c r="AM42" s="729"/>
      <c r="AN42" s="50" t="s">
        <v>261</v>
      </c>
      <c r="AO42" s="50" t="s">
        <v>746</v>
      </c>
      <c r="AP42" s="732"/>
      <c r="AQ42" s="732"/>
      <c r="AR42" s="735"/>
      <c r="AS42" s="732"/>
      <c r="AT42" s="732"/>
      <c r="AU42" s="732"/>
      <c r="AV42" s="732"/>
      <c r="AW42" s="3"/>
      <c r="AX42" s="3"/>
      <c r="AY42" s="3"/>
      <c r="AZ42" s="3"/>
      <c r="BA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row>
    <row r="43" spans="1:119" s="155" customFormat="1" ht="82.8">
      <c r="A43" s="46" t="s">
        <v>257</v>
      </c>
      <c r="B43" s="46" t="s">
        <v>197</v>
      </c>
      <c r="C43" s="47" t="s">
        <v>357</v>
      </c>
      <c r="D43" s="46" t="s">
        <v>333</v>
      </c>
      <c r="E43" s="46" t="s">
        <v>261</v>
      </c>
      <c r="F43" s="183">
        <v>2024130010133</v>
      </c>
      <c r="G43" s="182" t="s">
        <v>272</v>
      </c>
      <c r="H43" s="46" t="s">
        <v>282</v>
      </c>
      <c r="I43" s="296" t="s">
        <v>238</v>
      </c>
      <c r="J43" s="171">
        <v>5</v>
      </c>
      <c r="K43" s="116">
        <v>0.5</v>
      </c>
      <c r="L43" s="46" t="s">
        <v>278</v>
      </c>
      <c r="M43" s="49"/>
      <c r="N43" s="50" t="s">
        <v>788</v>
      </c>
      <c r="O43" s="50">
        <v>17</v>
      </c>
      <c r="P43" s="211">
        <v>385</v>
      </c>
      <c r="Q43" s="50">
        <v>5</v>
      </c>
      <c r="R43" s="259">
        <f>+Q43/P43</f>
        <v>1.2987012987012988E-2</v>
      </c>
      <c r="S43" s="190">
        <v>45660</v>
      </c>
      <c r="T43" s="190">
        <v>46022</v>
      </c>
      <c r="U43" s="191">
        <f t="shared" si="0"/>
        <v>362</v>
      </c>
      <c r="V43" s="49">
        <v>385</v>
      </c>
      <c r="W43" s="50" t="s">
        <v>352</v>
      </c>
      <c r="X43" s="49" t="s">
        <v>360</v>
      </c>
      <c r="Y43" s="51" t="s">
        <v>380</v>
      </c>
      <c r="Z43" s="184" t="s">
        <v>379</v>
      </c>
      <c r="AA43" s="48" t="s">
        <v>351</v>
      </c>
      <c r="AB43" s="46" t="s">
        <v>597</v>
      </c>
      <c r="AC43" s="124">
        <v>1150000000</v>
      </c>
      <c r="AD43" s="46" t="s">
        <v>676</v>
      </c>
      <c r="AE43" s="46" t="s">
        <v>679</v>
      </c>
      <c r="AF43" s="49"/>
      <c r="AG43" s="49"/>
      <c r="AH43" s="726"/>
      <c r="AI43" s="726"/>
      <c r="AJ43" s="49"/>
      <c r="AK43" s="49"/>
      <c r="AL43" s="49"/>
      <c r="AM43" s="729"/>
      <c r="AN43" s="50" t="s">
        <v>261</v>
      </c>
      <c r="AO43" s="50" t="s">
        <v>746</v>
      </c>
      <c r="AP43" s="732"/>
      <c r="AQ43" s="732"/>
      <c r="AR43" s="735"/>
      <c r="AS43" s="732"/>
      <c r="AT43" s="732"/>
      <c r="AU43" s="732"/>
      <c r="AV43" s="732"/>
      <c r="AW43" s="3"/>
      <c r="AX43" s="3"/>
      <c r="AY43" s="3"/>
      <c r="AZ43" s="3"/>
      <c r="BA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row>
    <row r="44" spans="1:119" s="155" customFormat="1" ht="82.8">
      <c r="A44" s="46" t="s">
        <v>257</v>
      </c>
      <c r="B44" s="46" t="s">
        <v>197</v>
      </c>
      <c r="C44" s="47" t="s">
        <v>357</v>
      </c>
      <c r="D44" s="46" t="s">
        <v>210</v>
      </c>
      <c r="E44" s="46" t="s">
        <v>261</v>
      </c>
      <c r="F44" s="183">
        <v>2024130010133</v>
      </c>
      <c r="G44" s="182" t="s">
        <v>272</v>
      </c>
      <c r="H44" s="46" t="s">
        <v>283</v>
      </c>
      <c r="I44" s="296" t="s">
        <v>239</v>
      </c>
      <c r="J44" s="171">
        <v>16</v>
      </c>
      <c r="K44" s="116">
        <v>0.5</v>
      </c>
      <c r="L44" s="46" t="s">
        <v>280</v>
      </c>
      <c r="M44" s="49"/>
      <c r="N44" s="50" t="s">
        <v>677</v>
      </c>
      <c r="O44" s="50">
        <v>19</v>
      </c>
      <c r="P44" s="211">
        <v>200</v>
      </c>
      <c r="Q44" s="49">
        <v>16</v>
      </c>
      <c r="R44" s="259">
        <f>+Q44/P44</f>
        <v>0.08</v>
      </c>
      <c r="S44" s="190">
        <v>45660</v>
      </c>
      <c r="T44" s="190">
        <v>46022</v>
      </c>
      <c r="U44" s="191">
        <f t="shared" si="0"/>
        <v>362</v>
      </c>
      <c r="V44" s="48">
        <v>200</v>
      </c>
      <c r="W44" s="50" t="s">
        <v>352</v>
      </c>
      <c r="X44" s="49" t="s">
        <v>360</v>
      </c>
      <c r="Y44" s="50" t="s">
        <v>370</v>
      </c>
      <c r="Z44" s="49" t="s">
        <v>373</v>
      </c>
      <c r="AA44" s="48" t="s">
        <v>351</v>
      </c>
      <c r="AB44" s="46" t="s">
        <v>596</v>
      </c>
      <c r="AC44" s="124">
        <v>75000000</v>
      </c>
      <c r="AD44" s="49" t="s">
        <v>55</v>
      </c>
      <c r="AE44" s="49" t="s">
        <v>49</v>
      </c>
      <c r="AF44" s="49"/>
      <c r="AG44" s="49"/>
      <c r="AH44" s="726"/>
      <c r="AI44" s="726"/>
      <c r="AJ44" s="49"/>
      <c r="AK44" s="49"/>
      <c r="AL44" s="49"/>
      <c r="AM44" s="729"/>
      <c r="AN44" s="50" t="s">
        <v>261</v>
      </c>
      <c r="AO44" s="50" t="s">
        <v>756</v>
      </c>
      <c r="AP44" s="732"/>
      <c r="AQ44" s="732"/>
      <c r="AR44" s="735"/>
      <c r="AS44" s="732"/>
      <c r="AT44" s="732"/>
      <c r="AU44" s="732"/>
      <c r="AV44" s="732"/>
      <c r="AW44" s="3"/>
      <c r="AX44" s="3"/>
      <c r="AY44" s="3"/>
      <c r="AZ44" s="3"/>
      <c r="BA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row>
    <row r="45" spans="1:119" s="155" customFormat="1" ht="82.8">
      <c r="A45" s="46" t="s">
        <v>257</v>
      </c>
      <c r="B45" s="46" t="s">
        <v>197</v>
      </c>
      <c r="C45" s="47" t="s">
        <v>357</v>
      </c>
      <c r="D45" s="46" t="s">
        <v>210</v>
      </c>
      <c r="E45" s="46" t="s">
        <v>261</v>
      </c>
      <c r="F45" s="183">
        <v>2024130010133</v>
      </c>
      <c r="G45" s="182" t="s">
        <v>272</v>
      </c>
      <c r="H45" s="46" t="s">
        <v>283</v>
      </c>
      <c r="I45" s="296" t="s">
        <v>239</v>
      </c>
      <c r="J45" s="171">
        <v>16</v>
      </c>
      <c r="K45" s="116">
        <v>0.5</v>
      </c>
      <c r="L45" s="46" t="s">
        <v>279</v>
      </c>
      <c r="M45" s="49"/>
      <c r="N45" s="50" t="s">
        <v>789</v>
      </c>
      <c r="O45" s="50">
        <v>19</v>
      </c>
      <c r="P45" s="211">
        <v>100</v>
      </c>
      <c r="Q45" s="49">
        <v>16</v>
      </c>
      <c r="R45" s="259">
        <f>+Q45/P45</f>
        <v>0.16</v>
      </c>
      <c r="S45" s="190">
        <v>45660</v>
      </c>
      <c r="T45" s="190">
        <v>46022</v>
      </c>
      <c r="U45" s="191">
        <f t="shared" si="0"/>
        <v>362</v>
      </c>
      <c r="V45" s="48">
        <v>100</v>
      </c>
      <c r="W45" s="50" t="s">
        <v>352</v>
      </c>
      <c r="X45" s="49" t="s">
        <v>360</v>
      </c>
      <c r="Y45" s="50" t="s">
        <v>370</v>
      </c>
      <c r="Z45" s="49" t="s">
        <v>373</v>
      </c>
      <c r="AA45" s="48" t="s">
        <v>351</v>
      </c>
      <c r="AB45" s="46" t="s">
        <v>596</v>
      </c>
      <c r="AC45" s="124">
        <v>75000000</v>
      </c>
      <c r="AD45" s="49" t="s">
        <v>55</v>
      </c>
      <c r="AE45" s="49" t="s">
        <v>49</v>
      </c>
      <c r="AF45" s="49"/>
      <c r="AG45" s="49"/>
      <c r="AH45" s="726"/>
      <c r="AI45" s="726"/>
      <c r="AJ45" s="109">
        <v>256887000</v>
      </c>
      <c r="AK45" s="49"/>
      <c r="AL45" s="49"/>
      <c r="AM45" s="729"/>
      <c r="AN45" s="50" t="s">
        <v>261</v>
      </c>
      <c r="AO45" s="50" t="s">
        <v>756</v>
      </c>
      <c r="AP45" s="732"/>
      <c r="AQ45" s="732"/>
      <c r="AR45" s="735"/>
      <c r="AS45" s="732"/>
      <c r="AT45" s="732"/>
      <c r="AU45" s="732"/>
      <c r="AV45" s="732"/>
      <c r="AW45" s="3"/>
      <c r="AX45" s="3"/>
      <c r="AY45" s="3"/>
      <c r="AZ45" s="3"/>
      <c r="BA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row>
    <row r="46" spans="1:119" s="155" customFormat="1" ht="82.8">
      <c r="A46" s="46" t="s">
        <v>257</v>
      </c>
      <c r="B46" s="46" t="s">
        <v>197</v>
      </c>
      <c r="C46" s="47" t="s">
        <v>357</v>
      </c>
      <c r="D46" s="46" t="s">
        <v>210</v>
      </c>
      <c r="E46" s="46" t="s">
        <v>261</v>
      </c>
      <c r="F46" s="183">
        <v>2024130010133</v>
      </c>
      <c r="G46" s="182" t="s">
        <v>272</v>
      </c>
      <c r="H46" s="46" t="s">
        <v>283</v>
      </c>
      <c r="I46" s="296" t="s">
        <v>239</v>
      </c>
      <c r="J46" s="171">
        <v>16</v>
      </c>
      <c r="K46" s="116">
        <v>0.5</v>
      </c>
      <c r="L46" s="46" t="s">
        <v>279</v>
      </c>
      <c r="M46" s="49"/>
      <c r="N46" s="50" t="s">
        <v>789</v>
      </c>
      <c r="O46" s="50">
        <v>19</v>
      </c>
      <c r="P46" s="211">
        <v>100</v>
      </c>
      <c r="Q46" s="49">
        <v>16</v>
      </c>
      <c r="R46" s="259">
        <f>+Q46/P46</f>
        <v>0.16</v>
      </c>
      <c r="S46" s="190">
        <v>45660</v>
      </c>
      <c r="T46" s="190">
        <v>46022</v>
      </c>
      <c r="U46" s="191">
        <f t="shared" si="0"/>
        <v>362</v>
      </c>
      <c r="V46" s="48">
        <v>100</v>
      </c>
      <c r="W46" s="50" t="s">
        <v>352</v>
      </c>
      <c r="X46" s="49" t="s">
        <v>360</v>
      </c>
      <c r="Y46" s="50" t="s">
        <v>381</v>
      </c>
      <c r="Z46" s="50" t="s">
        <v>382</v>
      </c>
      <c r="AA46" s="48" t="s">
        <v>351</v>
      </c>
      <c r="AB46" s="46" t="s">
        <v>678</v>
      </c>
      <c r="AC46" s="124">
        <v>1150000000</v>
      </c>
      <c r="AD46" s="46" t="s">
        <v>676</v>
      </c>
      <c r="AE46" s="46" t="s">
        <v>679</v>
      </c>
      <c r="AF46" s="156"/>
      <c r="AG46" s="49"/>
      <c r="AH46" s="727"/>
      <c r="AI46" s="727"/>
      <c r="AJ46" s="109">
        <v>26000000</v>
      </c>
      <c r="AK46" s="49"/>
      <c r="AL46" s="49"/>
      <c r="AM46" s="730"/>
      <c r="AN46" s="50" t="s">
        <v>261</v>
      </c>
      <c r="AO46" s="50" t="s">
        <v>756</v>
      </c>
      <c r="AP46" s="733"/>
      <c r="AQ46" s="733"/>
      <c r="AR46" s="736"/>
      <c r="AS46" s="733"/>
      <c r="AT46" s="733"/>
      <c r="AU46" s="733"/>
      <c r="AV46" s="733"/>
      <c r="AW46" s="3"/>
      <c r="AX46" s="3"/>
      <c r="AY46" s="3"/>
      <c r="AZ46" s="3"/>
      <c r="BA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row>
    <row r="47" spans="1:119" s="155" customFormat="1" ht="60" customHeight="1">
      <c r="A47" s="46"/>
      <c r="B47" s="46"/>
      <c r="C47" s="47"/>
      <c r="D47" s="46"/>
      <c r="E47" s="722" t="s">
        <v>768</v>
      </c>
      <c r="F47" s="723"/>
      <c r="G47" s="723"/>
      <c r="H47" s="723"/>
      <c r="I47" s="723"/>
      <c r="J47" s="723"/>
      <c r="K47" s="723"/>
      <c r="L47" s="723"/>
      <c r="M47" s="723"/>
      <c r="N47" s="723"/>
      <c r="O47" s="723"/>
      <c r="P47" s="723"/>
      <c r="Q47" s="724"/>
      <c r="R47" s="260">
        <f>AVERAGE(R40:R46)</f>
        <v>0.34656771799628949</v>
      </c>
      <c r="S47" s="190"/>
      <c r="T47" s="190"/>
      <c r="U47" s="191"/>
      <c r="V47" s="48"/>
      <c r="W47" s="50"/>
      <c r="X47" s="49"/>
      <c r="Y47" s="50"/>
      <c r="Z47" s="50"/>
      <c r="AA47" s="48"/>
      <c r="AB47" s="46"/>
      <c r="AC47" s="124"/>
      <c r="AD47" s="46"/>
      <c r="AE47" s="46"/>
      <c r="AF47" s="156"/>
      <c r="AG47" s="49"/>
      <c r="AH47" s="218"/>
      <c r="AI47" s="218"/>
      <c r="AJ47" s="109"/>
      <c r="AK47" s="49"/>
      <c r="AL47" s="49"/>
      <c r="AM47" s="219"/>
      <c r="AN47" s="50"/>
      <c r="AO47" s="257" t="s">
        <v>767</v>
      </c>
      <c r="AP47" s="243">
        <f>SUM(AP40)</f>
        <v>2760697332.29</v>
      </c>
      <c r="AQ47" s="243">
        <f t="shared" ref="AQ47:AT47" si="3">SUM(AQ40)</f>
        <v>1185418000</v>
      </c>
      <c r="AR47" s="261">
        <f t="shared" si="3"/>
        <v>0.4294</v>
      </c>
      <c r="AS47" s="243">
        <f t="shared" si="3"/>
        <v>0</v>
      </c>
      <c r="AT47" s="243">
        <f t="shared" si="3"/>
        <v>0</v>
      </c>
      <c r="AU47" s="262">
        <v>0</v>
      </c>
      <c r="AV47" s="262">
        <v>0</v>
      </c>
      <c r="AW47" s="3"/>
      <c r="AX47" s="3"/>
      <c r="AY47" s="3"/>
      <c r="AZ47" s="3"/>
      <c r="BA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row>
    <row r="48" spans="1:119" s="157" customFormat="1" ht="135">
      <c r="A48" s="32" t="s">
        <v>258</v>
      </c>
      <c r="B48" s="32" t="s">
        <v>198</v>
      </c>
      <c r="C48" s="52" t="s">
        <v>358</v>
      </c>
      <c r="D48" s="32" t="s">
        <v>212</v>
      </c>
      <c r="E48" s="32" t="s">
        <v>262</v>
      </c>
      <c r="F48" s="53">
        <v>2024130010147</v>
      </c>
      <c r="G48" s="54" t="s">
        <v>458</v>
      </c>
      <c r="H48" s="32" t="s">
        <v>460</v>
      </c>
      <c r="I48" s="32" t="s">
        <v>461</v>
      </c>
      <c r="J48" s="172">
        <v>4005</v>
      </c>
      <c r="K48" s="116">
        <v>0.3</v>
      </c>
      <c r="L48" s="32" t="s">
        <v>682</v>
      </c>
      <c r="M48" s="151"/>
      <c r="N48" s="54" t="s">
        <v>684</v>
      </c>
      <c r="O48" s="54"/>
      <c r="P48" s="211">
        <v>1</v>
      </c>
      <c r="Q48" s="151" t="s">
        <v>757</v>
      </c>
      <c r="R48" s="263">
        <f>0.5/1</f>
        <v>0.5</v>
      </c>
      <c r="S48" s="190">
        <v>45660</v>
      </c>
      <c r="T48" s="190">
        <v>46022</v>
      </c>
      <c r="U48" s="191">
        <f t="shared" si="0"/>
        <v>362</v>
      </c>
      <c r="V48" s="31">
        <v>5400</v>
      </c>
      <c r="W48" s="54" t="s">
        <v>352</v>
      </c>
      <c r="X48" s="54" t="s">
        <v>367</v>
      </c>
      <c r="Y48" s="32" t="s">
        <v>467</v>
      </c>
      <c r="Z48" s="32" t="s">
        <v>468</v>
      </c>
      <c r="AA48" s="31" t="s">
        <v>351</v>
      </c>
      <c r="AB48" s="32" t="s">
        <v>596</v>
      </c>
      <c r="AC48" s="125">
        <v>64500000</v>
      </c>
      <c r="AD48" s="151" t="s">
        <v>55</v>
      </c>
      <c r="AE48" s="151" t="s">
        <v>49</v>
      </c>
      <c r="AF48" s="151"/>
      <c r="AG48" s="151"/>
      <c r="AH48" s="744">
        <v>844891147</v>
      </c>
      <c r="AI48" s="744"/>
      <c r="AJ48" s="107">
        <v>0</v>
      </c>
      <c r="AK48" s="151"/>
      <c r="AL48" s="151"/>
      <c r="AM48" s="746" t="s">
        <v>647</v>
      </c>
      <c r="AN48" s="54" t="s">
        <v>262</v>
      </c>
      <c r="AO48" s="112" t="s">
        <v>736</v>
      </c>
      <c r="AP48" s="748">
        <v>899558349</v>
      </c>
      <c r="AQ48" s="748">
        <v>132500000</v>
      </c>
      <c r="AR48" s="751">
        <v>0.14729999999999999</v>
      </c>
      <c r="AS48" s="748">
        <v>0</v>
      </c>
      <c r="AT48" s="748">
        <v>0</v>
      </c>
      <c r="AU48" s="754">
        <v>0</v>
      </c>
      <c r="AV48" s="754">
        <v>0</v>
      </c>
      <c r="AW48" s="3"/>
      <c r="AX48" s="3"/>
      <c r="AY48" s="3"/>
      <c r="AZ48" s="3"/>
      <c r="BA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row>
    <row r="49" spans="1:119" s="157" customFormat="1" ht="135">
      <c r="A49" s="32" t="s">
        <v>258</v>
      </c>
      <c r="B49" s="32" t="s">
        <v>198</v>
      </c>
      <c r="C49" s="52" t="s">
        <v>358</v>
      </c>
      <c r="D49" s="32" t="s">
        <v>212</v>
      </c>
      <c r="E49" s="32" t="s">
        <v>262</v>
      </c>
      <c r="F49" s="53">
        <v>2024130010147</v>
      </c>
      <c r="G49" s="105" t="s">
        <v>474</v>
      </c>
      <c r="H49" s="32" t="s">
        <v>459</v>
      </c>
      <c r="I49" s="32" t="s">
        <v>241</v>
      </c>
      <c r="J49" s="172">
        <v>2</v>
      </c>
      <c r="K49" s="116">
        <v>0.3</v>
      </c>
      <c r="L49" s="32" t="s">
        <v>463</v>
      </c>
      <c r="M49" s="151"/>
      <c r="N49" s="54" t="s">
        <v>790</v>
      </c>
      <c r="O49" s="54">
        <v>4</v>
      </c>
      <c r="P49" s="211">
        <v>3</v>
      </c>
      <c r="Q49" s="151" t="s">
        <v>757</v>
      </c>
      <c r="R49" s="264">
        <f>0.5/3</f>
        <v>0.16666666666666666</v>
      </c>
      <c r="S49" s="190">
        <v>45660</v>
      </c>
      <c r="T49" s="190">
        <v>46022</v>
      </c>
      <c r="U49" s="191">
        <f t="shared" si="0"/>
        <v>362</v>
      </c>
      <c r="V49" s="31">
        <v>3</v>
      </c>
      <c r="W49" s="54" t="s">
        <v>352</v>
      </c>
      <c r="X49" s="54" t="s">
        <v>367</v>
      </c>
      <c r="Y49" s="32" t="s">
        <v>374</v>
      </c>
      <c r="Z49" s="32" t="s">
        <v>469</v>
      </c>
      <c r="AA49" s="31" t="s">
        <v>351</v>
      </c>
      <c r="AB49" s="32" t="s">
        <v>596</v>
      </c>
      <c r="AC49" s="125">
        <v>64500000</v>
      </c>
      <c r="AD49" s="151" t="s">
        <v>55</v>
      </c>
      <c r="AE49" s="151" t="s">
        <v>49</v>
      </c>
      <c r="AF49" s="151"/>
      <c r="AG49" s="151"/>
      <c r="AH49" s="745"/>
      <c r="AI49" s="745"/>
      <c r="AJ49" s="107">
        <v>0</v>
      </c>
      <c r="AK49" s="151"/>
      <c r="AL49" s="151"/>
      <c r="AM49" s="747"/>
      <c r="AN49" s="54" t="s">
        <v>262</v>
      </c>
      <c r="AO49" s="112" t="s">
        <v>736</v>
      </c>
      <c r="AP49" s="749"/>
      <c r="AQ49" s="749"/>
      <c r="AR49" s="752"/>
      <c r="AS49" s="749"/>
      <c r="AT49" s="749"/>
      <c r="AU49" s="749"/>
      <c r="AV49" s="749"/>
      <c r="AW49" s="3"/>
      <c r="AX49" s="3"/>
      <c r="AY49" s="3"/>
      <c r="AZ49" s="3"/>
      <c r="BA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row>
    <row r="50" spans="1:119" s="157" customFormat="1" ht="135">
      <c r="A50" s="32" t="s">
        <v>258</v>
      </c>
      <c r="B50" s="32" t="s">
        <v>198</v>
      </c>
      <c r="C50" s="52" t="s">
        <v>358</v>
      </c>
      <c r="D50" s="32" t="s">
        <v>212</v>
      </c>
      <c r="E50" s="32" t="s">
        <v>262</v>
      </c>
      <c r="F50" s="53">
        <v>2024130010147</v>
      </c>
      <c r="G50" s="105" t="s">
        <v>474</v>
      </c>
      <c r="H50" s="32" t="s">
        <v>459</v>
      </c>
      <c r="I50" s="32" t="s">
        <v>241</v>
      </c>
      <c r="J50" s="172">
        <v>2</v>
      </c>
      <c r="K50" s="116">
        <v>0.3</v>
      </c>
      <c r="L50" s="32" t="s">
        <v>463</v>
      </c>
      <c r="M50" s="151"/>
      <c r="N50" s="54" t="s">
        <v>790</v>
      </c>
      <c r="O50" s="54">
        <v>4</v>
      </c>
      <c r="P50" s="211">
        <v>3</v>
      </c>
      <c r="Q50" s="151" t="s">
        <v>757</v>
      </c>
      <c r="R50" s="264">
        <f t="shared" ref="R50:R56" si="4">0.5/3</f>
        <v>0.16666666666666666</v>
      </c>
      <c r="S50" s="190">
        <v>45660</v>
      </c>
      <c r="T50" s="190">
        <v>46022</v>
      </c>
      <c r="U50" s="191">
        <f t="shared" si="0"/>
        <v>362</v>
      </c>
      <c r="V50" s="31">
        <v>3</v>
      </c>
      <c r="W50" s="54" t="s">
        <v>352</v>
      </c>
      <c r="X50" s="54" t="s">
        <v>367</v>
      </c>
      <c r="Y50" s="32" t="s">
        <v>374</v>
      </c>
      <c r="Z50" s="32" t="s">
        <v>469</v>
      </c>
      <c r="AA50" s="31" t="s">
        <v>351</v>
      </c>
      <c r="AB50" s="32" t="s">
        <v>599</v>
      </c>
      <c r="AC50" s="125">
        <v>50000000</v>
      </c>
      <c r="AD50" s="54" t="s">
        <v>56</v>
      </c>
      <c r="AE50" s="151" t="s">
        <v>49</v>
      </c>
      <c r="AF50" s="151"/>
      <c r="AG50" s="151"/>
      <c r="AH50" s="745"/>
      <c r="AI50" s="745"/>
      <c r="AJ50" s="107">
        <v>0</v>
      </c>
      <c r="AK50" s="151"/>
      <c r="AL50" s="151"/>
      <c r="AM50" s="747"/>
      <c r="AN50" s="54" t="s">
        <v>262</v>
      </c>
      <c r="AO50" s="112" t="s">
        <v>736</v>
      </c>
      <c r="AP50" s="749"/>
      <c r="AQ50" s="749"/>
      <c r="AR50" s="752"/>
      <c r="AS50" s="749"/>
      <c r="AT50" s="749"/>
      <c r="AU50" s="749"/>
      <c r="AV50" s="749"/>
      <c r="AW50" s="3"/>
      <c r="AX50" s="3"/>
      <c r="AY50" s="3"/>
      <c r="AZ50" s="3"/>
      <c r="BA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row>
    <row r="51" spans="1:119" s="157" customFormat="1" ht="135">
      <c r="A51" s="32" t="s">
        <v>258</v>
      </c>
      <c r="B51" s="32" t="s">
        <v>198</v>
      </c>
      <c r="C51" s="52" t="s">
        <v>358</v>
      </c>
      <c r="D51" s="32" t="s">
        <v>212</v>
      </c>
      <c r="E51" s="32" t="s">
        <v>262</v>
      </c>
      <c r="F51" s="53">
        <v>2024130010147</v>
      </c>
      <c r="G51" s="105" t="s">
        <v>474</v>
      </c>
      <c r="H51" s="32" t="s">
        <v>459</v>
      </c>
      <c r="I51" s="32" t="s">
        <v>241</v>
      </c>
      <c r="J51" s="172">
        <v>2</v>
      </c>
      <c r="K51" s="116">
        <v>0.3</v>
      </c>
      <c r="L51" s="32" t="s">
        <v>463</v>
      </c>
      <c r="M51" s="151"/>
      <c r="N51" s="54" t="s">
        <v>790</v>
      </c>
      <c r="O51" s="54">
        <v>4</v>
      </c>
      <c r="P51" s="211">
        <v>3</v>
      </c>
      <c r="Q51" s="151" t="s">
        <v>757</v>
      </c>
      <c r="R51" s="264">
        <f t="shared" si="4"/>
        <v>0.16666666666666666</v>
      </c>
      <c r="S51" s="190">
        <v>45660</v>
      </c>
      <c r="T51" s="190">
        <v>46022</v>
      </c>
      <c r="U51" s="191">
        <f t="shared" si="0"/>
        <v>362</v>
      </c>
      <c r="V51" s="31">
        <v>3</v>
      </c>
      <c r="W51" s="54" t="s">
        <v>352</v>
      </c>
      <c r="X51" s="54" t="s">
        <v>367</v>
      </c>
      <c r="Y51" s="32" t="s">
        <v>374</v>
      </c>
      <c r="Z51" s="32" t="s">
        <v>469</v>
      </c>
      <c r="AA51" s="31" t="s">
        <v>351</v>
      </c>
      <c r="AB51" s="32" t="s">
        <v>598</v>
      </c>
      <c r="AC51" s="125">
        <v>70000000</v>
      </c>
      <c r="AD51" s="54" t="s">
        <v>53</v>
      </c>
      <c r="AE51" s="151" t="s">
        <v>49</v>
      </c>
      <c r="AF51" s="151"/>
      <c r="AG51" s="151"/>
      <c r="AH51" s="745"/>
      <c r="AI51" s="745"/>
      <c r="AJ51" s="107">
        <v>0</v>
      </c>
      <c r="AK51" s="151"/>
      <c r="AL51" s="151"/>
      <c r="AM51" s="747"/>
      <c r="AN51" s="54" t="s">
        <v>262</v>
      </c>
      <c r="AO51" s="112" t="s">
        <v>736</v>
      </c>
      <c r="AP51" s="749"/>
      <c r="AQ51" s="749"/>
      <c r="AR51" s="752"/>
      <c r="AS51" s="749"/>
      <c r="AT51" s="749"/>
      <c r="AU51" s="749"/>
      <c r="AV51" s="749"/>
      <c r="AW51" s="3"/>
      <c r="AX51" s="3"/>
      <c r="AY51" s="3"/>
      <c r="AZ51" s="3"/>
      <c r="BA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row>
    <row r="52" spans="1:119" s="157" customFormat="1" ht="135">
      <c r="A52" s="32" t="s">
        <v>258</v>
      </c>
      <c r="B52" s="32" t="s">
        <v>198</v>
      </c>
      <c r="C52" s="52" t="s">
        <v>358</v>
      </c>
      <c r="D52" s="32" t="s">
        <v>212</v>
      </c>
      <c r="E52" s="32" t="s">
        <v>262</v>
      </c>
      <c r="F52" s="53">
        <v>2024130010147</v>
      </c>
      <c r="G52" s="105" t="s">
        <v>474</v>
      </c>
      <c r="H52" s="32" t="s">
        <v>459</v>
      </c>
      <c r="I52" s="297" t="s">
        <v>241</v>
      </c>
      <c r="J52" s="172">
        <v>2</v>
      </c>
      <c r="K52" s="116">
        <v>0.3</v>
      </c>
      <c r="L52" s="32" t="s">
        <v>465</v>
      </c>
      <c r="M52" s="151"/>
      <c r="N52" s="54" t="s">
        <v>791</v>
      </c>
      <c r="O52" s="54">
        <v>4</v>
      </c>
      <c r="P52" s="211">
        <v>1</v>
      </c>
      <c r="Q52" s="151" t="s">
        <v>757</v>
      </c>
      <c r="R52" s="264">
        <f t="shared" si="4"/>
        <v>0.16666666666666666</v>
      </c>
      <c r="S52" s="190">
        <v>45660</v>
      </c>
      <c r="T52" s="190">
        <v>46022</v>
      </c>
      <c r="U52" s="191">
        <f t="shared" si="0"/>
        <v>362</v>
      </c>
      <c r="V52" s="31">
        <v>3</v>
      </c>
      <c r="W52" s="54" t="s">
        <v>352</v>
      </c>
      <c r="X52" s="54" t="s">
        <v>367</v>
      </c>
      <c r="Y52" s="32" t="s">
        <v>374</v>
      </c>
      <c r="Z52" s="32" t="s">
        <v>469</v>
      </c>
      <c r="AA52" s="31" t="s">
        <v>351</v>
      </c>
      <c r="AB52" s="32" t="s">
        <v>596</v>
      </c>
      <c r="AC52" s="125">
        <v>22500000</v>
      </c>
      <c r="AD52" s="151" t="s">
        <v>55</v>
      </c>
      <c r="AE52" s="151" t="s">
        <v>49</v>
      </c>
      <c r="AF52" s="151"/>
      <c r="AG52" s="151"/>
      <c r="AH52" s="745"/>
      <c r="AI52" s="745"/>
      <c r="AJ52" s="107">
        <v>0</v>
      </c>
      <c r="AK52" s="151"/>
      <c r="AL52" s="151"/>
      <c r="AM52" s="747"/>
      <c r="AN52" s="54" t="s">
        <v>262</v>
      </c>
      <c r="AO52" s="112" t="s">
        <v>736</v>
      </c>
      <c r="AP52" s="749"/>
      <c r="AQ52" s="749"/>
      <c r="AR52" s="752"/>
      <c r="AS52" s="749"/>
      <c r="AT52" s="749"/>
      <c r="AU52" s="749"/>
      <c r="AV52" s="749"/>
      <c r="AW52" s="3"/>
      <c r="AX52" s="3"/>
      <c r="AY52" s="3"/>
      <c r="AZ52" s="3"/>
      <c r="BA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row>
    <row r="53" spans="1:119" s="157" customFormat="1" ht="135">
      <c r="A53" s="32" t="s">
        <v>258</v>
      </c>
      <c r="B53" s="32" t="s">
        <v>198</v>
      </c>
      <c r="C53" s="52" t="s">
        <v>358</v>
      </c>
      <c r="D53" s="32" t="s">
        <v>212</v>
      </c>
      <c r="E53" s="32" t="s">
        <v>262</v>
      </c>
      <c r="F53" s="53">
        <v>2024130010147</v>
      </c>
      <c r="G53" s="105" t="s">
        <v>474</v>
      </c>
      <c r="H53" s="32" t="s">
        <v>459</v>
      </c>
      <c r="I53" s="32" t="s">
        <v>241</v>
      </c>
      <c r="J53" s="297">
        <v>2</v>
      </c>
      <c r="K53" s="116">
        <v>0.3</v>
      </c>
      <c r="L53" s="32" t="s">
        <v>465</v>
      </c>
      <c r="M53" s="151"/>
      <c r="N53" s="54" t="s">
        <v>791</v>
      </c>
      <c r="O53" s="54">
        <v>4</v>
      </c>
      <c r="P53" s="211">
        <v>1</v>
      </c>
      <c r="Q53" s="151" t="s">
        <v>757</v>
      </c>
      <c r="R53" s="264">
        <f t="shared" si="4"/>
        <v>0.16666666666666666</v>
      </c>
      <c r="S53" s="190">
        <v>45660</v>
      </c>
      <c r="T53" s="190">
        <v>46022</v>
      </c>
      <c r="U53" s="191">
        <f t="shared" si="0"/>
        <v>362</v>
      </c>
      <c r="V53" s="31">
        <v>3</v>
      </c>
      <c r="W53" s="54" t="s">
        <v>352</v>
      </c>
      <c r="X53" s="54" t="s">
        <v>367</v>
      </c>
      <c r="Y53" s="32" t="s">
        <v>374</v>
      </c>
      <c r="Z53" s="32" t="s">
        <v>469</v>
      </c>
      <c r="AA53" s="31" t="s">
        <v>351</v>
      </c>
      <c r="AB53" s="32" t="s">
        <v>600</v>
      </c>
      <c r="AC53" s="125">
        <v>12000000</v>
      </c>
      <c r="AD53" s="54" t="s">
        <v>56</v>
      </c>
      <c r="AE53" s="151" t="s">
        <v>49</v>
      </c>
      <c r="AF53" s="151"/>
      <c r="AG53" s="151"/>
      <c r="AH53" s="745"/>
      <c r="AI53" s="745"/>
      <c r="AJ53" s="107">
        <v>0</v>
      </c>
      <c r="AK53" s="151"/>
      <c r="AL53" s="151"/>
      <c r="AM53" s="747"/>
      <c r="AN53" s="54" t="s">
        <v>262</v>
      </c>
      <c r="AO53" s="112" t="s">
        <v>736</v>
      </c>
      <c r="AP53" s="749"/>
      <c r="AQ53" s="749"/>
      <c r="AR53" s="752"/>
      <c r="AS53" s="749"/>
      <c r="AT53" s="749"/>
      <c r="AU53" s="749"/>
      <c r="AV53" s="749"/>
      <c r="AW53" s="3"/>
      <c r="AX53" s="3"/>
      <c r="AY53" s="3"/>
      <c r="AZ53" s="3"/>
      <c r="BA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row>
    <row r="54" spans="1:119" s="157" customFormat="1" ht="135">
      <c r="A54" s="32" t="s">
        <v>258</v>
      </c>
      <c r="B54" s="32" t="s">
        <v>198</v>
      </c>
      <c r="C54" s="52" t="s">
        <v>358</v>
      </c>
      <c r="D54" s="32" t="s">
        <v>212</v>
      </c>
      <c r="E54" s="32" t="s">
        <v>262</v>
      </c>
      <c r="F54" s="53">
        <v>2024130010147</v>
      </c>
      <c r="G54" s="105" t="s">
        <v>474</v>
      </c>
      <c r="H54" s="32" t="s">
        <v>459</v>
      </c>
      <c r="I54" s="32" t="s">
        <v>241</v>
      </c>
      <c r="J54" s="172">
        <v>2</v>
      </c>
      <c r="K54" s="116">
        <v>0.3</v>
      </c>
      <c r="L54" s="32" t="s">
        <v>462</v>
      </c>
      <c r="M54" s="151"/>
      <c r="N54" s="54" t="s">
        <v>792</v>
      </c>
      <c r="O54" s="54">
        <v>4</v>
      </c>
      <c r="P54" s="211">
        <v>2</v>
      </c>
      <c r="Q54" s="151" t="s">
        <v>757</v>
      </c>
      <c r="R54" s="264">
        <f t="shared" si="4"/>
        <v>0.16666666666666666</v>
      </c>
      <c r="S54" s="190">
        <v>45660</v>
      </c>
      <c r="T54" s="190">
        <v>46022</v>
      </c>
      <c r="U54" s="191">
        <f t="shared" si="0"/>
        <v>362</v>
      </c>
      <c r="V54" s="31">
        <v>3</v>
      </c>
      <c r="W54" s="54" t="s">
        <v>352</v>
      </c>
      <c r="X54" s="54" t="s">
        <v>367</v>
      </c>
      <c r="Y54" s="32" t="s">
        <v>470</v>
      </c>
      <c r="Z54" s="32" t="s">
        <v>471</v>
      </c>
      <c r="AA54" s="31" t="s">
        <v>351</v>
      </c>
      <c r="AB54" s="32" t="s">
        <v>596</v>
      </c>
      <c r="AC54" s="125">
        <v>64500000</v>
      </c>
      <c r="AD54" s="151" t="s">
        <v>55</v>
      </c>
      <c r="AE54" s="151" t="s">
        <v>49</v>
      </c>
      <c r="AF54" s="151"/>
      <c r="AG54" s="151"/>
      <c r="AH54" s="745"/>
      <c r="AI54" s="745"/>
      <c r="AJ54" s="107">
        <v>0</v>
      </c>
      <c r="AK54" s="151"/>
      <c r="AL54" s="151"/>
      <c r="AM54" s="747"/>
      <c r="AN54" s="54" t="s">
        <v>262</v>
      </c>
      <c r="AO54" s="112" t="s">
        <v>736</v>
      </c>
      <c r="AP54" s="749"/>
      <c r="AQ54" s="749"/>
      <c r="AR54" s="752"/>
      <c r="AS54" s="749"/>
      <c r="AT54" s="749"/>
      <c r="AU54" s="749"/>
      <c r="AV54" s="749"/>
      <c r="AW54" s="3"/>
      <c r="AX54" s="3"/>
      <c r="AY54" s="3"/>
      <c r="AZ54" s="3"/>
      <c r="BA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row>
    <row r="55" spans="1:119" s="157" customFormat="1" ht="135">
      <c r="A55" s="32" t="s">
        <v>258</v>
      </c>
      <c r="B55" s="32" t="s">
        <v>198</v>
      </c>
      <c r="C55" s="52" t="s">
        <v>358</v>
      </c>
      <c r="D55" s="32" t="s">
        <v>212</v>
      </c>
      <c r="E55" s="32" t="s">
        <v>262</v>
      </c>
      <c r="F55" s="53">
        <v>2024130010147</v>
      </c>
      <c r="G55" s="105" t="s">
        <v>474</v>
      </c>
      <c r="H55" s="32" t="s">
        <v>459</v>
      </c>
      <c r="I55" s="32" t="s">
        <v>241</v>
      </c>
      <c r="J55" s="172">
        <v>2</v>
      </c>
      <c r="K55" s="116">
        <v>0.3</v>
      </c>
      <c r="L55" s="32" t="s">
        <v>464</v>
      </c>
      <c r="M55" s="151"/>
      <c r="N55" s="54" t="s">
        <v>793</v>
      </c>
      <c r="O55" s="54">
        <v>4</v>
      </c>
      <c r="P55" s="211">
        <v>1</v>
      </c>
      <c r="Q55" s="151" t="s">
        <v>757</v>
      </c>
      <c r="R55" s="264">
        <f t="shared" si="4"/>
        <v>0.16666666666666666</v>
      </c>
      <c r="S55" s="190">
        <v>45660</v>
      </c>
      <c r="T55" s="190">
        <v>46022</v>
      </c>
      <c r="U55" s="191">
        <f t="shared" si="0"/>
        <v>362</v>
      </c>
      <c r="V55" s="31">
        <v>3</v>
      </c>
      <c r="W55" s="54" t="s">
        <v>352</v>
      </c>
      <c r="X55" s="54" t="s">
        <v>367</v>
      </c>
      <c r="Y55" s="32" t="s">
        <v>470</v>
      </c>
      <c r="Z55" s="32" t="s">
        <v>471</v>
      </c>
      <c r="AA55" s="31" t="s">
        <v>351</v>
      </c>
      <c r="AB55" s="32" t="s">
        <v>596</v>
      </c>
      <c r="AC55" s="125">
        <v>36000000</v>
      </c>
      <c r="AD55" s="151" t="s">
        <v>55</v>
      </c>
      <c r="AE55" s="151" t="s">
        <v>49</v>
      </c>
      <c r="AF55" s="151"/>
      <c r="AG55" s="151"/>
      <c r="AH55" s="745"/>
      <c r="AI55" s="745"/>
      <c r="AJ55" s="107">
        <v>0</v>
      </c>
      <c r="AK55" s="151"/>
      <c r="AL55" s="151"/>
      <c r="AM55" s="747"/>
      <c r="AN55" s="54" t="s">
        <v>262</v>
      </c>
      <c r="AO55" s="112" t="s">
        <v>736</v>
      </c>
      <c r="AP55" s="749"/>
      <c r="AQ55" s="749"/>
      <c r="AR55" s="752"/>
      <c r="AS55" s="749"/>
      <c r="AT55" s="749"/>
      <c r="AU55" s="749"/>
      <c r="AV55" s="749"/>
      <c r="AW55" s="3"/>
      <c r="AX55" s="3"/>
      <c r="AY55" s="3"/>
      <c r="AZ55" s="3"/>
      <c r="BA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row>
    <row r="56" spans="1:119" s="157" customFormat="1" ht="135">
      <c r="A56" s="32" t="s">
        <v>258</v>
      </c>
      <c r="B56" s="32" t="s">
        <v>198</v>
      </c>
      <c r="C56" s="52" t="s">
        <v>361</v>
      </c>
      <c r="D56" s="32" t="s">
        <v>212</v>
      </c>
      <c r="E56" s="32" t="s">
        <v>262</v>
      </c>
      <c r="F56" s="53">
        <v>2024130010147</v>
      </c>
      <c r="G56" s="105" t="s">
        <v>474</v>
      </c>
      <c r="H56" s="32" t="s">
        <v>459</v>
      </c>
      <c r="I56" s="32" t="s">
        <v>241</v>
      </c>
      <c r="J56" s="172">
        <v>2</v>
      </c>
      <c r="K56" s="116">
        <v>0.3</v>
      </c>
      <c r="L56" s="32" t="s">
        <v>464</v>
      </c>
      <c r="M56" s="151"/>
      <c r="N56" s="54" t="s">
        <v>794</v>
      </c>
      <c r="O56" s="54">
        <v>4</v>
      </c>
      <c r="P56" s="211">
        <v>1</v>
      </c>
      <c r="Q56" s="151" t="s">
        <v>757</v>
      </c>
      <c r="R56" s="264">
        <f t="shared" si="4"/>
        <v>0.16666666666666666</v>
      </c>
      <c r="S56" s="190">
        <v>45660</v>
      </c>
      <c r="T56" s="190">
        <v>46022</v>
      </c>
      <c r="U56" s="191">
        <f t="shared" si="0"/>
        <v>362</v>
      </c>
      <c r="V56" s="31">
        <v>3</v>
      </c>
      <c r="W56" s="54" t="s">
        <v>352</v>
      </c>
      <c r="X56" s="54" t="s">
        <v>367</v>
      </c>
      <c r="Y56" s="32" t="s">
        <v>470</v>
      </c>
      <c r="Z56" s="32" t="s">
        <v>471</v>
      </c>
      <c r="AA56" s="31" t="s">
        <v>351</v>
      </c>
      <c r="AB56" s="32" t="s">
        <v>683</v>
      </c>
      <c r="AC56" s="125">
        <v>50000000</v>
      </c>
      <c r="AD56" s="54" t="s">
        <v>53</v>
      </c>
      <c r="AE56" s="151" t="s">
        <v>49</v>
      </c>
      <c r="AF56" s="151"/>
      <c r="AG56" s="151"/>
      <c r="AH56" s="745"/>
      <c r="AI56" s="745"/>
      <c r="AJ56" s="107">
        <v>0</v>
      </c>
      <c r="AK56" s="151"/>
      <c r="AL56" s="151"/>
      <c r="AM56" s="747"/>
      <c r="AN56" s="54" t="s">
        <v>262</v>
      </c>
      <c r="AO56" s="112" t="s">
        <v>736</v>
      </c>
      <c r="AP56" s="749"/>
      <c r="AQ56" s="749"/>
      <c r="AR56" s="752"/>
      <c r="AS56" s="749"/>
      <c r="AT56" s="749"/>
      <c r="AU56" s="749"/>
      <c r="AV56" s="749"/>
      <c r="AW56" s="3"/>
      <c r="AX56" s="3"/>
      <c r="AY56" s="3"/>
      <c r="AZ56" s="3"/>
      <c r="BA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row>
    <row r="57" spans="1:119" s="157" customFormat="1" ht="285.60000000000002">
      <c r="A57" s="32" t="s">
        <v>258</v>
      </c>
      <c r="B57" s="32" t="s">
        <v>198</v>
      </c>
      <c r="C57" s="52" t="s">
        <v>361</v>
      </c>
      <c r="D57" s="32" t="s">
        <v>211</v>
      </c>
      <c r="E57" s="149" t="s">
        <v>262</v>
      </c>
      <c r="F57" s="150">
        <v>2024130010147</v>
      </c>
      <c r="G57" s="105" t="s">
        <v>474</v>
      </c>
      <c r="H57" s="32" t="s">
        <v>459</v>
      </c>
      <c r="I57" s="32" t="s">
        <v>241</v>
      </c>
      <c r="J57" s="172">
        <v>2</v>
      </c>
      <c r="K57" s="116">
        <v>0.7</v>
      </c>
      <c r="L57" s="105" t="s">
        <v>466</v>
      </c>
      <c r="M57" s="151"/>
      <c r="N57" s="54" t="s">
        <v>795</v>
      </c>
      <c r="O57" s="54">
        <v>7187</v>
      </c>
      <c r="P57" s="211">
        <v>5400</v>
      </c>
      <c r="Q57" s="151">
        <v>300</v>
      </c>
      <c r="R57" s="264">
        <f>+Q57/P57</f>
        <v>5.5555555555555552E-2</v>
      </c>
      <c r="S57" s="190">
        <v>45660</v>
      </c>
      <c r="T57" s="190">
        <v>46022</v>
      </c>
      <c r="U57" s="191">
        <f t="shared" si="0"/>
        <v>362</v>
      </c>
      <c r="V57" s="31">
        <v>3</v>
      </c>
      <c r="W57" s="54" t="s">
        <v>352</v>
      </c>
      <c r="X57" s="54" t="s">
        <v>367</v>
      </c>
      <c r="Y57" s="32" t="s">
        <v>472</v>
      </c>
      <c r="Z57" s="32" t="s">
        <v>473</v>
      </c>
      <c r="AA57" s="31" t="s">
        <v>351</v>
      </c>
      <c r="AB57" s="32" t="s">
        <v>596</v>
      </c>
      <c r="AC57" s="125">
        <v>64500000</v>
      </c>
      <c r="AD57" s="151" t="s">
        <v>55</v>
      </c>
      <c r="AE57" s="151" t="s">
        <v>49</v>
      </c>
      <c r="AF57" s="151"/>
      <c r="AG57" s="151"/>
      <c r="AH57" s="745"/>
      <c r="AI57" s="745"/>
      <c r="AJ57" s="107">
        <v>0</v>
      </c>
      <c r="AK57" s="151"/>
      <c r="AL57" s="151"/>
      <c r="AM57" s="747"/>
      <c r="AN57" s="54" t="s">
        <v>262</v>
      </c>
      <c r="AO57" s="112" t="s">
        <v>758</v>
      </c>
      <c r="AP57" s="749"/>
      <c r="AQ57" s="749"/>
      <c r="AR57" s="752"/>
      <c r="AS57" s="749"/>
      <c r="AT57" s="749"/>
      <c r="AU57" s="749"/>
      <c r="AV57" s="749"/>
      <c r="AW57" s="3"/>
      <c r="AX57" s="3"/>
      <c r="AY57" s="3"/>
      <c r="AZ57" s="3"/>
      <c r="BA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row>
    <row r="58" spans="1:119" s="157" customFormat="1" ht="285.60000000000002">
      <c r="A58" s="32" t="s">
        <v>258</v>
      </c>
      <c r="B58" s="32" t="s">
        <v>198</v>
      </c>
      <c r="C58" s="52" t="s">
        <v>361</v>
      </c>
      <c r="D58" s="32" t="s">
        <v>211</v>
      </c>
      <c r="E58" s="149" t="s">
        <v>262</v>
      </c>
      <c r="F58" s="150">
        <v>2024130010147</v>
      </c>
      <c r="G58" s="105" t="s">
        <v>474</v>
      </c>
      <c r="H58" s="32" t="s">
        <v>459</v>
      </c>
      <c r="I58" s="32" t="s">
        <v>241</v>
      </c>
      <c r="J58" s="172">
        <v>2</v>
      </c>
      <c r="K58" s="116">
        <v>0.7</v>
      </c>
      <c r="L58" s="105" t="s">
        <v>466</v>
      </c>
      <c r="M58" s="151"/>
      <c r="N58" s="54" t="s">
        <v>795</v>
      </c>
      <c r="O58" s="54">
        <v>7187</v>
      </c>
      <c r="P58" s="211">
        <v>5400</v>
      </c>
      <c r="Q58" s="151">
        <v>300</v>
      </c>
      <c r="R58" s="264">
        <f>+Q58/P58</f>
        <v>5.5555555555555552E-2</v>
      </c>
      <c r="S58" s="190">
        <v>45660</v>
      </c>
      <c r="T58" s="190">
        <v>46022</v>
      </c>
      <c r="U58" s="191">
        <f t="shared" si="0"/>
        <v>362</v>
      </c>
      <c r="V58" s="31">
        <v>3</v>
      </c>
      <c r="W58" s="54" t="s">
        <v>352</v>
      </c>
      <c r="X58" s="54" t="s">
        <v>367</v>
      </c>
      <c r="Y58" s="32" t="s">
        <v>472</v>
      </c>
      <c r="Z58" s="32" t="s">
        <v>473</v>
      </c>
      <c r="AA58" s="31" t="s">
        <v>351</v>
      </c>
      <c r="AB58" s="32" t="s">
        <v>680</v>
      </c>
      <c r="AC58" s="125">
        <v>221391147</v>
      </c>
      <c r="AD58" s="54" t="s">
        <v>52</v>
      </c>
      <c r="AE58" s="32" t="s">
        <v>681</v>
      </c>
      <c r="AF58" s="151"/>
      <c r="AG58" s="151"/>
      <c r="AH58" s="745"/>
      <c r="AI58" s="745"/>
      <c r="AJ58" s="107">
        <v>0</v>
      </c>
      <c r="AK58" s="151"/>
      <c r="AL58" s="151"/>
      <c r="AM58" s="747"/>
      <c r="AN58" s="54" t="s">
        <v>262</v>
      </c>
      <c r="AO58" s="112" t="s">
        <v>758</v>
      </c>
      <c r="AP58" s="749"/>
      <c r="AQ58" s="749"/>
      <c r="AR58" s="752"/>
      <c r="AS58" s="749"/>
      <c r="AT58" s="749"/>
      <c r="AU58" s="749"/>
      <c r="AV58" s="749"/>
      <c r="AW58" s="3"/>
      <c r="AX58" s="3"/>
      <c r="AY58" s="3"/>
      <c r="AZ58" s="3"/>
      <c r="BA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row>
    <row r="59" spans="1:119" s="157" customFormat="1" ht="285.60000000000002">
      <c r="A59" s="32" t="s">
        <v>258</v>
      </c>
      <c r="B59" s="32" t="s">
        <v>198</v>
      </c>
      <c r="C59" s="52" t="s">
        <v>361</v>
      </c>
      <c r="D59" s="32" t="s">
        <v>211</v>
      </c>
      <c r="E59" s="32" t="s">
        <v>262</v>
      </c>
      <c r="F59" s="53">
        <v>2024130010147</v>
      </c>
      <c r="G59" s="105" t="s">
        <v>474</v>
      </c>
      <c r="H59" s="32" t="s">
        <v>459</v>
      </c>
      <c r="I59" s="32" t="s">
        <v>241</v>
      </c>
      <c r="J59" s="172">
        <v>2</v>
      </c>
      <c r="K59" s="116">
        <v>0.7</v>
      </c>
      <c r="L59" s="105" t="s">
        <v>296</v>
      </c>
      <c r="M59" s="151"/>
      <c r="N59" s="54" t="s">
        <v>663</v>
      </c>
      <c r="O59" s="54">
        <v>20</v>
      </c>
      <c r="P59" s="211">
        <v>3</v>
      </c>
      <c r="Q59" s="151">
        <v>300</v>
      </c>
      <c r="R59" s="151"/>
      <c r="S59" s="190">
        <v>45660</v>
      </c>
      <c r="T59" s="190">
        <v>46022</v>
      </c>
      <c r="U59" s="191">
        <f t="shared" si="0"/>
        <v>362</v>
      </c>
      <c r="V59" s="31">
        <v>3</v>
      </c>
      <c r="W59" s="54" t="s">
        <v>352</v>
      </c>
      <c r="X59" s="54" t="s">
        <v>367</v>
      </c>
      <c r="Y59" s="32" t="s">
        <v>472</v>
      </c>
      <c r="Z59" s="32" t="s">
        <v>473</v>
      </c>
      <c r="AA59" s="31" t="s">
        <v>351</v>
      </c>
      <c r="AB59" s="32" t="s">
        <v>666</v>
      </c>
      <c r="AC59" s="125">
        <v>125000000</v>
      </c>
      <c r="AD59" s="54" t="s">
        <v>52</v>
      </c>
      <c r="AE59" s="151" t="s">
        <v>49</v>
      </c>
      <c r="AF59" s="151"/>
      <c r="AG59" s="151"/>
      <c r="AH59" s="745"/>
      <c r="AI59" s="745"/>
      <c r="AJ59" s="107">
        <v>0</v>
      </c>
      <c r="AK59" s="151"/>
      <c r="AL59" s="151"/>
      <c r="AM59" s="747"/>
      <c r="AN59" s="54" t="s">
        <v>262</v>
      </c>
      <c r="AO59" s="112" t="s">
        <v>758</v>
      </c>
      <c r="AP59" s="750"/>
      <c r="AQ59" s="750"/>
      <c r="AR59" s="753"/>
      <c r="AS59" s="750"/>
      <c r="AT59" s="750"/>
      <c r="AU59" s="750"/>
      <c r="AV59" s="750"/>
      <c r="AW59" s="3"/>
      <c r="AX59" s="3"/>
      <c r="AY59" s="3"/>
      <c r="AZ59" s="3"/>
      <c r="BA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row>
    <row r="60" spans="1:119" s="157" customFormat="1" ht="72.75" customHeight="1">
      <c r="A60" s="32"/>
      <c r="B60" s="32"/>
      <c r="C60" s="52"/>
      <c r="D60" s="32"/>
      <c r="E60" s="722" t="s">
        <v>769</v>
      </c>
      <c r="F60" s="723"/>
      <c r="G60" s="723"/>
      <c r="H60" s="723"/>
      <c r="I60" s="723"/>
      <c r="J60" s="723"/>
      <c r="K60" s="723"/>
      <c r="L60" s="723"/>
      <c r="M60" s="723"/>
      <c r="N60" s="723"/>
      <c r="O60" s="723"/>
      <c r="P60" s="723"/>
      <c r="Q60" s="724"/>
      <c r="R60" s="265">
        <f>AVERAGE(R48:R59)</f>
        <v>0.1767676767676768</v>
      </c>
      <c r="S60" s="190"/>
      <c r="T60" s="190"/>
      <c r="U60" s="191"/>
      <c r="V60" s="31"/>
      <c r="W60" s="54"/>
      <c r="X60" s="54"/>
      <c r="Y60" s="32"/>
      <c r="Z60" s="32"/>
      <c r="AA60" s="31"/>
      <c r="AB60" s="32"/>
      <c r="AC60" s="125"/>
      <c r="AD60" s="54"/>
      <c r="AE60" s="151"/>
      <c r="AF60" s="151"/>
      <c r="AG60" s="151"/>
      <c r="AH60" s="220"/>
      <c r="AI60" s="220"/>
      <c r="AJ60" s="107"/>
      <c r="AK60" s="151"/>
      <c r="AL60" s="151"/>
      <c r="AM60" s="224"/>
      <c r="AN60" s="54"/>
      <c r="AO60" s="257" t="s">
        <v>767</v>
      </c>
      <c r="AP60" s="244">
        <f>SUM(AP48)</f>
        <v>899558349</v>
      </c>
      <c r="AQ60" s="244">
        <f t="shared" ref="AQ60:AT60" si="5">SUM(AQ48)</f>
        <v>132500000</v>
      </c>
      <c r="AR60" s="266">
        <f t="shared" si="5"/>
        <v>0.14729999999999999</v>
      </c>
      <c r="AS60" s="244">
        <f t="shared" si="5"/>
        <v>0</v>
      </c>
      <c r="AT60" s="244">
        <f t="shared" si="5"/>
        <v>0</v>
      </c>
      <c r="AU60" s="267">
        <v>0</v>
      </c>
      <c r="AV60" s="267">
        <v>0</v>
      </c>
      <c r="AW60" s="3"/>
      <c r="AX60" s="3"/>
      <c r="AY60" s="3"/>
      <c r="AZ60" s="3"/>
      <c r="BA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row>
    <row r="61" spans="1:119" s="158" customFormat="1" ht="409.6">
      <c r="A61" s="55" t="s">
        <v>257</v>
      </c>
      <c r="B61" s="55" t="s">
        <v>199</v>
      </c>
      <c r="C61" s="56" t="s">
        <v>361</v>
      </c>
      <c r="D61" s="55" t="s">
        <v>213</v>
      </c>
      <c r="E61" s="55" t="s">
        <v>263</v>
      </c>
      <c r="F61" s="57">
        <v>2024130010130</v>
      </c>
      <c r="G61" s="55" t="s">
        <v>277</v>
      </c>
      <c r="H61" s="55" t="s">
        <v>300</v>
      </c>
      <c r="I61" s="55" t="s">
        <v>242</v>
      </c>
      <c r="J61" s="173">
        <v>5905</v>
      </c>
      <c r="K61" s="210">
        <v>0.4</v>
      </c>
      <c r="L61" s="69" t="s">
        <v>293</v>
      </c>
      <c r="M61" s="208" t="s">
        <v>632</v>
      </c>
      <c r="N61" s="59" t="s">
        <v>636</v>
      </c>
      <c r="O61" s="59">
        <v>6762</v>
      </c>
      <c r="P61" s="211">
        <v>6700</v>
      </c>
      <c r="Q61" s="58">
        <v>1239</v>
      </c>
      <c r="R61" s="268">
        <f>+Q61/P61</f>
        <v>0.18492537313432836</v>
      </c>
      <c r="S61" s="190">
        <v>45660</v>
      </c>
      <c r="T61" s="190">
        <v>46022</v>
      </c>
      <c r="U61" s="191">
        <f t="shared" si="0"/>
        <v>362</v>
      </c>
      <c r="V61" s="55">
        <v>6700</v>
      </c>
      <c r="W61" s="59" t="s">
        <v>352</v>
      </c>
      <c r="X61" s="58" t="s">
        <v>360</v>
      </c>
      <c r="Y61" s="59" t="s">
        <v>383</v>
      </c>
      <c r="Z61" s="59" t="s">
        <v>384</v>
      </c>
      <c r="AA61" s="60" t="s">
        <v>351</v>
      </c>
      <c r="AB61" s="126" t="s">
        <v>687</v>
      </c>
      <c r="AC61" s="127">
        <v>300000000</v>
      </c>
      <c r="AD61" s="59" t="s">
        <v>53</v>
      </c>
      <c r="AE61" s="58" t="s">
        <v>49</v>
      </c>
      <c r="AF61" s="58"/>
      <c r="AG61" s="58"/>
      <c r="AH61" s="755">
        <v>4532675119</v>
      </c>
      <c r="AI61" s="755"/>
      <c r="AJ61" s="58"/>
      <c r="AK61" s="58"/>
      <c r="AL61" s="58"/>
      <c r="AM61" s="758" t="s">
        <v>648</v>
      </c>
      <c r="AN61" s="59" t="s">
        <v>263</v>
      </c>
      <c r="AO61" s="113" t="s">
        <v>741</v>
      </c>
      <c r="AP61" s="761">
        <v>8250277366.1000004</v>
      </c>
      <c r="AQ61" s="761">
        <v>1158543000</v>
      </c>
      <c r="AR61" s="764">
        <v>0.1404</v>
      </c>
      <c r="AS61" s="761">
        <v>0</v>
      </c>
      <c r="AT61" s="761">
        <v>0</v>
      </c>
      <c r="AU61" s="774">
        <v>0</v>
      </c>
      <c r="AV61" s="774">
        <v>0</v>
      </c>
      <c r="AW61" s="3"/>
      <c r="AX61" s="3"/>
      <c r="AY61" s="3"/>
      <c r="AZ61" s="3"/>
      <c r="BA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row>
    <row r="62" spans="1:119" s="158" customFormat="1" ht="409.6">
      <c r="A62" s="55" t="s">
        <v>257</v>
      </c>
      <c r="B62" s="55" t="s">
        <v>199</v>
      </c>
      <c r="C62" s="56" t="s">
        <v>361</v>
      </c>
      <c r="D62" s="55" t="s">
        <v>213</v>
      </c>
      <c r="E62" s="55" t="s">
        <v>263</v>
      </c>
      <c r="F62" s="57">
        <v>2024130010130</v>
      </c>
      <c r="G62" s="55" t="s">
        <v>277</v>
      </c>
      <c r="H62" s="55" t="s">
        <v>300</v>
      </c>
      <c r="I62" s="55" t="s">
        <v>242</v>
      </c>
      <c r="J62" s="173">
        <v>5905</v>
      </c>
      <c r="K62" s="210">
        <v>0.4</v>
      </c>
      <c r="L62" s="69" t="s">
        <v>292</v>
      </c>
      <c r="M62" s="208" t="s">
        <v>632</v>
      </c>
      <c r="N62" s="59" t="s">
        <v>796</v>
      </c>
      <c r="O62" s="59">
        <v>6762</v>
      </c>
      <c r="P62" s="211">
        <v>20</v>
      </c>
      <c r="Q62" s="58">
        <v>1239</v>
      </c>
      <c r="R62" s="58"/>
      <c r="S62" s="190">
        <v>45660</v>
      </c>
      <c r="T62" s="190">
        <v>46022</v>
      </c>
      <c r="U62" s="191">
        <f t="shared" si="0"/>
        <v>362</v>
      </c>
      <c r="V62" s="55">
        <v>6700</v>
      </c>
      <c r="W62" s="59" t="s">
        <v>352</v>
      </c>
      <c r="X62" s="58" t="s">
        <v>360</v>
      </c>
      <c r="Y62" s="59" t="s">
        <v>383</v>
      </c>
      <c r="Z62" s="59" t="s">
        <v>384</v>
      </c>
      <c r="AA62" s="60" t="s">
        <v>351</v>
      </c>
      <c r="AB62" s="69" t="s">
        <v>596</v>
      </c>
      <c r="AC62" s="127">
        <v>150000000</v>
      </c>
      <c r="AD62" s="58" t="s">
        <v>55</v>
      </c>
      <c r="AE62" s="58" t="s">
        <v>49</v>
      </c>
      <c r="AF62" s="58"/>
      <c r="AG62" s="58"/>
      <c r="AH62" s="756"/>
      <c r="AI62" s="756"/>
      <c r="AJ62" s="58"/>
      <c r="AK62" s="58"/>
      <c r="AL62" s="58"/>
      <c r="AM62" s="759"/>
      <c r="AN62" s="59" t="s">
        <v>263</v>
      </c>
      <c r="AO62" s="113" t="s">
        <v>741</v>
      </c>
      <c r="AP62" s="762"/>
      <c r="AQ62" s="762"/>
      <c r="AR62" s="765"/>
      <c r="AS62" s="762"/>
      <c r="AT62" s="762"/>
      <c r="AU62" s="762"/>
      <c r="AV62" s="762"/>
      <c r="AW62" s="3"/>
      <c r="AX62" s="3"/>
      <c r="AY62" s="3"/>
      <c r="AZ62" s="3"/>
      <c r="BA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row>
    <row r="63" spans="1:119" s="158" customFormat="1" ht="409.6">
      <c r="A63" s="55" t="s">
        <v>257</v>
      </c>
      <c r="B63" s="55" t="s">
        <v>199</v>
      </c>
      <c r="C63" s="56" t="s">
        <v>361</v>
      </c>
      <c r="D63" s="55" t="s">
        <v>213</v>
      </c>
      <c r="E63" s="55" t="s">
        <v>263</v>
      </c>
      <c r="F63" s="57">
        <v>2024130010130</v>
      </c>
      <c r="G63" s="55" t="s">
        <v>277</v>
      </c>
      <c r="H63" s="55" t="s">
        <v>300</v>
      </c>
      <c r="I63" s="55" t="s">
        <v>242</v>
      </c>
      <c r="J63" s="173">
        <v>5905</v>
      </c>
      <c r="K63" s="210">
        <v>0.4</v>
      </c>
      <c r="L63" s="59" t="s">
        <v>291</v>
      </c>
      <c r="M63" s="208" t="s">
        <v>632</v>
      </c>
      <c r="N63" s="59" t="s">
        <v>636</v>
      </c>
      <c r="O63" s="59">
        <v>6762</v>
      </c>
      <c r="P63" s="211">
        <v>6700</v>
      </c>
      <c r="Q63" s="58">
        <v>1239</v>
      </c>
      <c r="R63" s="268">
        <f>+Q63/P63</f>
        <v>0.18492537313432836</v>
      </c>
      <c r="S63" s="190">
        <v>45660</v>
      </c>
      <c r="T63" s="190">
        <v>46022</v>
      </c>
      <c r="U63" s="191">
        <f t="shared" si="0"/>
        <v>362</v>
      </c>
      <c r="V63" s="55">
        <v>6700</v>
      </c>
      <c r="W63" s="59" t="s">
        <v>352</v>
      </c>
      <c r="X63" s="58" t="s">
        <v>360</v>
      </c>
      <c r="Y63" s="59" t="s">
        <v>385</v>
      </c>
      <c r="Z63" s="59" t="s">
        <v>386</v>
      </c>
      <c r="AA63" s="60" t="s">
        <v>351</v>
      </c>
      <c r="AB63" s="69" t="s">
        <v>596</v>
      </c>
      <c r="AC63" s="127">
        <v>700000000</v>
      </c>
      <c r="AD63" s="58" t="s">
        <v>55</v>
      </c>
      <c r="AE63" s="69" t="s">
        <v>681</v>
      </c>
      <c r="AF63" s="58"/>
      <c r="AG63" s="58"/>
      <c r="AH63" s="756"/>
      <c r="AI63" s="756"/>
      <c r="AJ63" s="58"/>
      <c r="AK63" s="58"/>
      <c r="AL63" s="58"/>
      <c r="AM63" s="759"/>
      <c r="AN63" s="59" t="s">
        <v>263</v>
      </c>
      <c r="AO63" s="113" t="s">
        <v>741</v>
      </c>
      <c r="AP63" s="762"/>
      <c r="AQ63" s="762"/>
      <c r="AR63" s="765"/>
      <c r="AS63" s="762"/>
      <c r="AT63" s="762"/>
      <c r="AU63" s="762"/>
      <c r="AV63" s="762"/>
      <c r="AW63" s="3"/>
      <c r="AX63" s="3"/>
      <c r="AY63" s="3"/>
      <c r="AZ63" s="3"/>
      <c r="BA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row>
    <row r="64" spans="1:119" s="158" customFormat="1" ht="409.6">
      <c r="A64" s="55" t="s">
        <v>257</v>
      </c>
      <c r="B64" s="55" t="s">
        <v>199</v>
      </c>
      <c r="C64" s="56" t="s">
        <v>361</v>
      </c>
      <c r="D64" s="55" t="s">
        <v>213</v>
      </c>
      <c r="E64" s="55" t="s">
        <v>263</v>
      </c>
      <c r="F64" s="57">
        <v>2024130010130</v>
      </c>
      <c r="G64" s="55" t="s">
        <v>277</v>
      </c>
      <c r="H64" s="55" t="s">
        <v>300</v>
      </c>
      <c r="I64" s="55" t="s">
        <v>242</v>
      </c>
      <c r="J64" s="173">
        <v>5905</v>
      </c>
      <c r="K64" s="210">
        <v>0.4</v>
      </c>
      <c r="L64" s="59" t="s">
        <v>291</v>
      </c>
      <c r="M64" s="208" t="s">
        <v>632</v>
      </c>
      <c r="N64" s="59" t="s">
        <v>636</v>
      </c>
      <c r="O64" s="59">
        <v>6762</v>
      </c>
      <c r="P64" s="211">
        <v>6700</v>
      </c>
      <c r="Q64" s="58">
        <v>1239</v>
      </c>
      <c r="R64" s="268">
        <f>+Q64/P64</f>
        <v>0.18492537313432836</v>
      </c>
      <c r="S64" s="190">
        <v>45660</v>
      </c>
      <c r="T64" s="190">
        <v>46022</v>
      </c>
      <c r="U64" s="191">
        <f t="shared" si="0"/>
        <v>362</v>
      </c>
      <c r="V64" s="55">
        <v>6700</v>
      </c>
      <c r="W64" s="59" t="s">
        <v>352</v>
      </c>
      <c r="X64" s="58" t="s">
        <v>360</v>
      </c>
      <c r="Y64" s="59" t="s">
        <v>385</v>
      </c>
      <c r="Z64" s="59" t="s">
        <v>386</v>
      </c>
      <c r="AA64" s="60" t="s">
        <v>351</v>
      </c>
      <c r="AB64" s="69" t="s">
        <v>688</v>
      </c>
      <c r="AC64" s="127">
        <v>905700000</v>
      </c>
      <c r="AD64" s="58" t="s">
        <v>50</v>
      </c>
      <c r="AE64" s="58" t="s">
        <v>49</v>
      </c>
      <c r="AF64" s="58"/>
      <c r="AG64" s="58"/>
      <c r="AH64" s="756"/>
      <c r="AI64" s="756"/>
      <c r="AJ64" s="58"/>
      <c r="AK64" s="58"/>
      <c r="AL64" s="58"/>
      <c r="AM64" s="759"/>
      <c r="AN64" s="59" t="s">
        <v>263</v>
      </c>
      <c r="AO64" s="113" t="s">
        <v>741</v>
      </c>
      <c r="AP64" s="762"/>
      <c r="AQ64" s="762"/>
      <c r="AR64" s="765"/>
      <c r="AS64" s="762"/>
      <c r="AT64" s="762"/>
      <c r="AU64" s="762"/>
      <c r="AV64" s="762"/>
      <c r="AW64" s="3"/>
      <c r="AX64" s="3"/>
      <c r="AY64" s="3"/>
      <c r="AZ64" s="3"/>
      <c r="BA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row>
    <row r="65" spans="1:119" s="158" customFormat="1" ht="409.6">
      <c r="A65" s="55" t="s">
        <v>257</v>
      </c>
      <c r="B65" s="55" t="s">
        <v>199</v>
      </c>
      <c r="C65" s="56" t="s">
        <v>361</v>
      </c>
      <c r="D65" s="55" t="s">
        <v>213</v>
      </c>
      <c r="E65" s="55" t="s">
        <v>263</v>
      </c>
      <c r="F65" s="57">
        <v>2024130010130</v>
      </c>
      <c r="G65" s="55" t="s">
        <v>277</v>
      </c>
      <c r="H65" s="55" t="s">
        <v>300</v>
      </c>
      <c r="I65" s="55" t="s">
        <v>242</v>
      </c>
      <c r="J65" s="173">
        <v>5905</v>
      </c>
      <c r="K65" s="210">
        <v>0.4</v>
      </c>
      <c r="L65" s="59" t="s">
        <v>689</v>
      </c>
      <c r="M65" s="208" t="s">
        <v>632</v>
      </c>
      <c r="N65" s="59" t="s">
        <v>636</v>
      </c>
      <c r="O65" s="59">
        <v>6762</v>
      </c>
      <c r="P65" s="211">
        <v>6700</v>
      </c>
      <c r="Q65" s="58">
        <v>1239</v>
      </c>
      <c r="R65" s="58"/>
      <c r="S65" s="190">
        <v>45660</v>
      </c>
      <c r="T65" s="190">
        <v>46022</v>
      </c>
      <c r="U65" s="191">
        <f t="shared" si="0"/>
        <v>362</v>
      </c>
      <c r="V65" s="55">
        <v>6700</v>
      </c>
      <c r="W65" s="59" t="s">
        <v>352</v>
      </c>
      <c r="X65" s="58" t="s">
        <v>360</v>
      </c>
      <c r="Y65" s="59" t="s">
        <v>387</v>
      </c>
      <c r="Z65" s="58" t="s">
        <v>388</v>
      </c>
      <c r="AA65" s="60" t="s">
        <v>351</v>
      </c>
      <c r="AB65" s="69" t="s">
        <v>596</v>
      </c>
      <c r="AC65" s="127">
        <v>700000000</v>
      </c>
      <c r="AD65" s="58" t="s">
        <v>55</v>
      </c>
      <c r="AE65" s="58" t="s">
        <v>49</v>
      </c>
      <c r="AF65" s="58"/>
      <c r="AG65" s="58"/>
      <c r="AH65" s="756"/>
      <c r="AI65" s="756"/>
      <c r="AJ65" s="58"/>
      <c r="AK65" s="58"/>
      <c r="AL65" s="58"/>
      <c r="AM65" s="759"/>
      <c r="AN65" s="59" t="s">
        <v>263</v>
      </c>
      <c r="AO65" s="113" t="s">
        <v>741</v>
      </c>
      <c r="AP65" s="762"/>
      <c r="AQ65" s="762"/>
      <c r="AR65" s="765"/>
      <c r="AS65" s="762"/>
      <c r="AT65" s="762"/>
      <c r="AU65" s="762"/>
      <c r="AV65" s="762"/>
      <c r="AW65" s="3"/>
      <c r="AX65" s="3"/>
      <c r="AY65" s="3"/>
      <c r="AZ65" s="3"/>
      <c r="BA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row>
    <row r="66" spans="1:119" s="158" customFormat="1" ht="409.6">
      <c r="A66" s="55" t="s">
        <v>257</v>
      </c>
      <c r="B66" s="55" t="s">
        <v>199</v>
      </c>
      <c r="C66" s="56" t="s">
        <v>361</v>
      </c>
      <c r="D66" s="55" t="s">
        <v>213</v>
      </c>
      <c r="E66" s="55" t="s">
        <v>263</v>
      </c>
      <c r="F66" s="57">
        <v>2024130010130</v>
      </c>
      <c r="G66" s="55" t="s">
        <v>277</v>
      </c>
      <c r="H66" s="55" t="s">
        <v>300</v>
      </c>
      <c r="I66" s="55" t="s">
        <v>242</v>
      </c>
      <c r="J66" s="173">
        <v>5905</v>
      </c>
      <c r="K66" s="210">
        <v>0.4</v>
      </c>
      <c r="L66" s="59" t="s">
        <v>689</v>
      </c>
      <c r="M66" s="208" t="s">
        <v>632</v>
      </c>
      <c r="N66" s="59" t="s">
        <v>636</v>
      </c>
      <c r="O66" s="59">
        <v>6762</v>
      </c>
      <c r="P66" s="211">
        <v>6700</v>
      </c>
      <c r="Q66" s="58">
        <v>1239</v>
      </c>
      <c r="R66" s="58"/>
      <c r="S66" s="190">
        <v>45660</v>
      </c>
      <c r="T66" s="190">
        <v>46022</v>
      </c>
      <c r="U66" s="191">
        <f t="shared" si="0"/>
        <v>362</v>
      </c>
      <c r="V66" s="55">
        <v>6700</v>
      </c>
      <c r="W66" s="59" t="s">
        <v>352</v>
      </c>
      <c r="X66" s="58" t="s">
        <v>360</v>
      </c>
      <c r="Y66" s="59" t="s">
        <v>387</v>
      </c>
      <c r="Z66" s="58" t="s">
        <v>388</v>
      </c>
      <c r="AA66" s="60" t="s">
        <v>351</v>
      </c>
      <c r="AB66" s="69" t="s">
        <v>688</v>
      </c>
      <c r="AC66" s="127">
        <v>905700000</v>
      </c>
      <c r="AD66" s="58" t="s">
        <v>50</v>
      </c>
      <c r="AE66" s="58" t="s">
        <v>49</v>
      </c>
      <c r="AF66" s="58"/>
      <c r="AG66" s="58"/>
      <c r="AH66" s="756"/>
      <c r="AI66" s="756"/>
      <c r="AJ66" s="58"/>
      <c r="AK66" s="58"/>
      <c r="AL66" s="58"/>
      <c r="AM66" s="759"/>
      <c r="AN66" s="59" t="s">
        <v>263</v>
      </c>
      <c r="AO66" s="113" t="s">
        <v>741</v>
      </c>
      <c r="AP66" s="762"/>
      <c r="AQ66" s="762"/>
      <c r="AR66" s="765"/>
      <c r="AS66" s="762"/>
      <c r="AT66" s="762"/>
      <c r="AU66" s="762"/>
      <c r="AV66" s="762"/>
      <c r="AW66" s="3"/>
      <c r="AX66" s="3"/>
      <c r="AY66" s="3"/>
      <c r="AZ66" s="3"/>
      <c r="BA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row>
    <row r="67" spans="1:119" s="158" customFormat="1" ht="409.6">
      <c r="A67" s="55" t="s">
        <v>257</v>
      </c>
      <c r="B67" s="55" t="s">
        <v>199</v>
      </c>
      <c r="C67" s="56" t="s">
        <v>361</v>
      </c>
      <c r="D67" s="55" t="s">
        <v>213</v>
      </c>
      <c r="E67" s="55" t="s">
        <v>263</v>
      </c>
      <c r="F67" s="57">
        <v>2024130010130</v>
      </c>
      <c r="G67" s="55" t="s">
        <v>277</v>
      </c>
      <c r="H67" s="55" t="s">
        <v>300</v>
      </c>
      <c r="I67" s="55" t="s">
        <v>242</v>
      </c>
      <c r="J67" s="173">
        <v>5095</v>
      </c>
      <c r="K67" s="210">
        <v>0.4</v>
      </c>
      <c r="L67" s="69" t="s">
        <v>690</v>
      </c>
      <c r="M67" s="208" t="s">
        <v>632</v>
      </c>
      <c r="N67" s="59" t="s">
        <v>797</v>
      </c>
      <c r="O67" s="59">
        <v>6762</v>
      </c>
      <c r="P67" s="211">
        <v>6700</v>
      </c>
      <c r="Q67" s="58">
        <v>1239</v>
      </c>
      <c r="R67" s="58"/>
      <c r="S67" s="190">
        <v>45660</v>
      </c>
      <c r="T67" s="190">
        <v>46022</v>
      </c>
      <c r="U67" s="191">
        <f t="shared" si="0"/>
        <v>362</v>
      </c>
      <c r="V67" s="55">
        <v>6700</v>
      </c>
      <c r="W67" s="59" t="s">
        <v>352</v>
      </c>
      <c r="X67" s="58" t="s">
        <v>360</v>
      </c>
      <c r="Y67" s="59" t="s">
        <v>389</v>
      </c>
      <c r="Z67" s="59" t="s">
        <v>390</v>
      </c>
      <c r="AA67" s="60" t="s">
        <v>351</v>
      </c>
      <c r="AB67" s="69" t="s">
        <v>596</v>
      </c>
      <c r="AC67" s="127">
        <v>250000000</v>
      </c>
      <c r="AD67" s="58" t="s">
        <v>55</v>
      </c>
      <c r="AE67" s="58" t="s">
        <v>49</v>
      </c>
      <c r="AF67" s="58"/>
      <c r="AG67" s="58"/>
      <c r="AH67" s="756"/>
      <c r="AI67" s="756"/>
      <c r="AJ67" s="58"/>
      <c r="AK67" s="58"/>
      <c r="AL67" s="58"/>
      <c r="AM67" s="759"/>
      <c r="AN67" s="59" t="s">
        <v>263</v>
      </c>
      <c r="AO67" s="113" t="s">
        <v>741</v>
      </c>
      <c r="AP67" s="762"/>
      <c r="AQ67" s="762"/>
      <c r="AR67" s="765"/>
      <c r="AS67" s="762"/>
      <c r="AT67" s="762"/>
      <c r="AU67" s="762"/>
      <c r="AV67" s="762"/>
      <c r="AW67" s="3"/>
      <c r="AX67" s="3"/>
      <c r="AY67" s="3"/>
      <c r="AZ67" s="3"/>
      <c r="BA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row>
    <row r="68" spans="1:119" s="158" customFormat="1" ht="409.6">
      <c r="A68" s="55" t="s">
        <v>257</v>
      </c>
      <c r="B68" s="55" t="s">
        <v>199</v>
      </c>
      <c r="C68" s="56" t="s">
        <v>361</v>
      </c>
      <c r="D68" s="55" t="s">
        <v>213</v>
      </c>
      <c r="E68" s="55" t="s">
        <v>263</v>
      </c>
      <c r="F68" s="57">
        <v>2024130010130</v>
      </c>
      <c r="G68" s="55" t="s">
        <v>277</v>
      </c>
      <c r="H68" s="55" t="s">
        <v>300</v>
      </c>
      <c r="I68" s="55" t="s">
        <v>242</v>
      </c>
      <c r="J68" s="173">
        <v>5095</v>
      </c>
      <c r="K68" s="210">
        <v>0.4</v>
      </c>
      <c r="L68" s="59" t="s">
        <v>690</v>
      </c>
      <c r="M68" s="208" t="s">
        <v>632</v>
      </c>
      <c r="N68" s="59" t="s">
        <v>636</v>
      </c>
      <c r="O68" s="59">
        <v>6762</v>
      </c>
      <c r="P68" s="211">
        <v>6700</v>
      </c>
      <c r="Q68" s="58">
        <v>1239</v>
      </c>
      <c r="R68" s="58"/>
      <c r="S68" s="190">
        <v>45660</v>
      </c>
      <c r="T68" s="190">
        <v>46022</v>
      </c>
      <c r="U68" s="191">
        <f t="shared" si="0"/>
        <v>362</v>
      </c>
      <c r="V68" s="55">
        <v>6700</v>
      </c>
      <c r="W68" s="59" t="s">
        <v>352</v>
      </c>
      <c r="X68" s="58" t="s">
        <v>360</v>
      </c>
      <c r="Y68" s="59" t="s">
        <v>391</v>
      </c>
      <c r="Z68" s="68" t="s">
        <v>392</v>
      </c>
      <c r="AA68" s="60" t="s">
        <v>351</v>
      </c>
      <c r="AB68" s="69" t="s">
        <v>601</v>
      </c>
      <c r="AC68" s="127">
        <v>40000000</v>
      </c>
      <c r="AD68" s="59" t="s">
        <v>52</v>
      </c>
      <c r="AE68" s="58" t="s">
        <v>49</v>
      </c>
      <c r="AF68" s="58"/>
      <c r="AG68" s="58"/>
      <c r="AH68" s="756"/>
      <c r="AI68" s="756"/>
      <c r="AJ68" s="58"/>
      <c r="AK68" s="58"/>
      <c r="AL68" s="58"/>
      <c r="AM68" s="759"/>
      <c r="AN68" s="59" t="s">
        <v>263</v>
      </c>
      <c r="AO68" s="113" t="s">
        <v>741</v>
      </c>
      <c r="AP68" s="762"/>
      <c r="AQ68" s="762"/>
      <c r="AR68" s="765"/>
      <c r="AS68" s="762"/>
      <c r="AT68" s="762"/>
      <c r="AU68" s="762"/>
      <c r="AV68" s="762"/>
      <c r="AW68" s="3"/>
      <c r="AX68" s="3"/>
      <c r="AY68" s="3"/>
      <c r="AZ68" s="3"/>
      <c r="BA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row>
    <row r="69" spans="1:119" s="158" customFormat="1" ht="409.6">
      <c r="A69" s="55" t="s">
        <v>257</v>
      </c>
      <c r="B69" s="55" t="s">
        <v>199</v>
      </c>
      <c r="C69" s="56" t="s">
        <v>361</v>
      </c>
      <c r="D69" s="55" t="s">
        <v>214</v>
      </c>
      <c r="E69" s="55" t="s">
        <v>263</v>
      </c>
      <c r="F69" s="57">
        <v>2024130010130</v>
      </c>
      <c r="G69" s="55" t="s">
        <v>277</v>
      </c>
      <c r="H69" s="55" t="s">
        <v>285</v>
      </c>
      <c r="I69" s="59" t="s">
        <v>413</v>
      </c>
      <c r="J69" s="185">
        <v>55</v>
      </c>
      <c r="K69" s="210">
        <v>0.1</v>
      </c>
      <c r="L69" s="59" t="s">
        <v>691</v>
      </c>
      <c r="M69" s="208" t="s">
        <v>632</v>
      </c>
      <c r="N69" s="59" t="s">
        <v>693</v>
      </c>
      <c r="O69" s="59">
        <v>55</v>
      </c>
      <c r="P69" s="211">
        <v>2</v>
      </c>
      <c r="Q69" s="58">
        <v>51</v>
      </c>
      <c r="R69" s="58"/>
      <c r="S69" s="190">
        <v>45660</v>
      </c>
      <c r="T69" s="190">
        <v>46022</v>
      </c>
      <c r="U69" s="191">
        <f t="shared" si="0"/>
        <v>362</v>
      </c>
      <c r="V69" s="58" t="s">
        <v>350</v>
      </c>
      <c r="W69" s="59" t="s">
        <v>352</v>
      </c>
      <c r="X69" s="58" t="s">
        <v>360</v>
      </c>
      <c r="Y69" s="55" t="s">
        <v>414</v>
      </c>
      <c r="Z69" s="59" t="s">
        <v>415</v>
      </c>
      <c r="AA69" s="60" t="s">
        <v>351</v>
      </c>
      <c r="AB69" s="69" t="s">
        <v>596</v>
      </c>
      <c r="AC69" s="127">
        <v>150000000</v>
      </c>
      <c r="AD69" s="58" t="s">
        <v>55</v>
      </c>
      <c r="AE69" s="58" t="s">
        <v>49</v>
      </c>
      <c r="AF69" s="58"/>
      <c r="AG69" s="58"/>
      <c r="AH69" s="756"/>
      <c r="AI69" s="756"/>
      <c r="AJ69" s="58"/>
      <c r="AK69" s="58"/>
      <c r="AL69" s="58"/>
      <c r="AM69" s="759"/>
      <c r="AN69" s="59" t="s">
        <v>263</v>
      </c>
      <c r="AO69" s="113" t="s">
        <v>742</v>
      </c>
      <c r="AP69" s="762"/>
      <c r="AQ69" s="762"/>
      <c r="AR69" s="765"/>
      <c r="AS69" s="762"/>
      <c r="AT69" s="762"/>
      <c r="AU69" s="762"/>
      <c r="AV69" s="762"/>
      <c r="AW69" s="3"/>
      <c r="AX69" s="3"/>
      <c r="AY69" s="3"/>
      <c r="AZ69" s="3"/>
      <c r="BA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row>
    <row r="70" spans="1:119" s="158" customFormat="1" ht="409.6">
      <c r="A70" s="55" t="s">
        <v>257</v>
      </c>
      <c r="B70" s="55" t="s">
        <v>199</v>
      </c>
      <c r="C70" s="56" t="s">
        <v>361</v>
      </c>
      <c r="D70" s="55" t="s">
        <v>214</v>
      </c>
      <c r="E70" s="55" t="s">
        <v>263</v>
      </c>
      <c r="F70" s="57">
        <v>2024130010130</v>
      </c>
      <c r="G70" s="55" t="s">
        <v>277</v>
      </c>
      <c r="H70" s="55" t="s">
        <v>285</v>
      </c>
      <c r="I70" s="59" t="s">
        <v>413</v>
      </c>
      <c r="J70" s="185">
        <v>55</v>
      </c>
      <c r="K70" s="210">
        <v>0.1</v>
      </c>
      <c r="L70" s="55" t="s">
        <v>691</v>
      </c>
      <c r="M70" s="208" t="s">
        <v>632</v>
      </c>
      <c r="N70" s="59" t="s">
        <v>693</v>
      </c>
      <c r="O70" s="59">
        <v>55</v>
      </c>
      <c r="P70" s="211">
        <v>2</v>
      </c>
      <c r="Q70" s="58">
        <v>51</v>
      </c>
      <c r="R70" s="58"/>
      <c r="S70" s="190">
        <v>45660</v>
      </c>
      <c r="T70" s="190">
        <v>46022</v>
      </c>
      <c r="U70" s="191">
        <f t="shared" si="0"/>
        <v>362</v>
      </c>
      <c r="V70" s="58" t="s">
        <v>350</v>
      </c>
      <c r="W70" s="59" t="s">
        <v>352</v>
      </c>
      <c r="X70" s="58" t="s">
        <v>360</v>
      </c>
      <c r="Y70" s="59" t="s">
        <v>393</v>
      </c>
      <c r="Z70" s="59" t="s">
        <v>394</v>
      </c>
      <c r="AA70" s="60" t="s">
        <v>351</v>
      </c>
      <c r="AB70" s="69" t="s">
        <v>695</v>
      </c>
      <c r="AC70" s="127">
        <v>131275119</v>
      </c>
      <c r="AD70" s="59" t="s">
        <v>53</v>
      </c>
      <c r="AE70" s="58" t="s">
        <v>49</v>
      </c>
      <c r="AF70" s="58"/>
      <c r="AG70" s="58"/>
      <c r="AH70" s="756"/>
      <c r="AI70" s="756"/>
      <c r="AJ70" s="58"/>
      <c r="AK70" s="58"/>
      <c r="AL70" s="58"/>
      <c r="AM70" s="759"/>
      <c r="AN70" s="59" t="s">
        <v>263</v>
      </c>
      <c r="AO70" s="113" t="s">
        <v>742</v>
      </c>
      <c r="AP70" s="762"/>
      <c r="AQ70" s="762"/>
      <c r="AR70" s="765"/>
      <c r="AS70" s="762"/>
      <c r="AT70" s="762"/>
      <c r="AU70" s="762"/>
      <c r="AV70" s="762"/>
      <c r="AW70" s="3"/>
      <c r="AX70" s="3"/>
      <c r="AY70" s="3"/>
      <c r="AZ70" s="3"/>
      <c r="BA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row>
    <row r="71" spans="1:119" s="158" customFormat="1" ht="409.6">
      <c r="A71" s="55" t="s">
        <v>257</v>
      </c>
      <c r="B71" s="55" t="s">
        <v>199</v>
      </c>
      <c r="C71" s="56" t="s">
        <v>361</v>
      </c>
      <c r="D71" s="55" t="s">
        <v>214</v>
      </c>
      <c r="E71" s="55" t="s">
        <v>263</v>
      </c>
      <c r="F71" s="57">
        <v>2024130010130</v>
      </c>
      <c r="G71" s="55" t="s">
        <v>277</v>
      </c>
      <c r="H71" s="55" t="s">
        <v>285</v>
      </c>
      <c r="I71" s="59" t="s">
        <v>413</v>
      </c>
      <c r="J71" s="185">
        <v>55</v>
      </c>
      <c r="K71" s="210">
        <v>0.1</v>
      </c>
      <c r="L71" s="55" t="s">
        <v>692</v>
      </c>
      <c r="M71" s="208" t="s">
        <v>632</v>
      </c>
      <c r="N71" s="59" t="s">
        <v>694</v>
      </c>
      <c r="O71" s="59">
        <v>55</v>
      </c>
      <c r="P71" s="211">
        <v>2</v>
      </c>
      <c r="Q71" s="58">
        <v>51</v>
      </c>
      <c r="R71" s="58"/>
      <c r="S71" s="190">
        <v>45660</v>
      </c>
      <c r="T71" s="190">
        <v>46022</v>
      </c>
      <c r="U71" s="191">
        <f t="shared" si="0"/>
        <v>362</v>
      </c>
      <c r="V71" s="58" t="s">
        <v>350</v>
      </c>
      <c r="W71" s="59" t="s">
        <v>352</v>
      </c>
      <c r="X71" s="58" t="s">
        <v>360</v>
      </c>
      <c r="Y71" s="59" t="s">
        <v>393</v>
      </c>
      <c r="Z71" s="59" t="s">
        <v>394</v>
      </c>
      <c r="AA71" s="60" t="s">
        <v>351</v>
      </c>
      <c r="AB71" s="69" t="s">
        <v>596</v>
      </c>
      <c r="AC71" s="127">
        <v>150000000</v>
      </c>
      <c r="AD71" s="59" t="s">
        <v>55</v>
      </c>
      <c r="AE71" s="58" t="s">
        <v>49</v>
      </c>
      <c r="AF71" s="58"/>
      <c r="AG71" s="58"/>
      <c r="AH71" s="756"/>
      <c r="AI71" s="756"/>
      <c r="AJ71" s="58"/>
      <c r="AK71" s="58"/>
      <c r="AL71" s="58"/>
      <c r="AM71" s="759"/>
      <c r="AN71" s="59" t="s">
        <v>263</v>
      </c>
      <c r="AO71" s="113" t="s">
        <v>742</v>
      </c>
      <c r="AP71" s="762"/>
      <c r="AQ71" s="762"/>
      <c r="AR71" s="765"/>
      <c r="AS71" s="762"/>
      <c r="AT71" s="762"/>
      <c r="AU71" s="762"/>
      <c r="AV71" s="762"/>
      <c r="AW71" s="3"/>
      <c r="AX71" s="3"/>
      <c r="AY71" s="3"/>
      <c r="AZ71" s="3"/>
      <c r="BA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row>
    <row r="72" spans="1:119" s="158" customFormat="1" ht="409.6">
      <c r="A72" s="55" t="s">
        <v>257</v>
      </c>
      <c r="B72" s="55" t="s">
        <v>199</v>
      </c>
      <c r="C72" s="56" t="s">
        <v>361</v>
      </c>
      <c r="D72" s="55" t="s">
        <v>214</v>
      </c>
      <c r="E72" s="55" t="s">
        <v>263</v>
      </c>
      <c r="F72" s="57">
        <v>2024130010130</v>
      </c>
      <c r="G72" s="55" t="s">
        <v>277</v>
      </c>
      <c r="H72" s="55" t="s">
        <v>285</v>
      </c>
      <c r="I72" s="59" t="s">
        <v>413</v>
      </c>
      <c r="J72" s="185">
        <v>55</v>
      </c>
      <c r="K72" s="210">
        <v>0.1</v>
      </c>
      <c r="L72" s="55" t="s">
        <v>692</v>
      </c>
      <c r="M72" s="208" t="s">
        <v>632</v>
      </c>
      <c r="N72" s="59" t="s">
        <v>694</v>
      </c>
      <c r="O72" s="59">
        <v>55</v>
      </c>
      <c r="P72" s="211">
        <v>2</v>
      </c>
      <c r="Q72" s="58">
        <v>51</v>
      </c>
      <c r="R72" s="58"/>
      <c r="S72" s="190">
        <v>45660</v>
      </c>
      <c r="T72" s="190">
        <v>46022</v>
      </c>
      <c r="U72" s="191">
        <f t="shared" si="0"/>
        <v>362</v>
      </c>
      <c r="V72" s="58" t="s">
        <v>350</v>
      </c>
      <c r="W72" s="59" t="s">
        <v>352</v>
      </c>
      <c r="X72" s="58" t="s">
        <v>360</v>
      </c>
      <c r="Y72" s="59" t="s">
        <v>393</v>
      </c>
      <c r="Z72" s="59" t="s">
        <v>394</v>
      </c>
      <c r="AA72" s="60" t="s">
        <v>351</v>
      </c>
      <c r="AB72" s="69" t="s">
        <v>696</v>
      </c>
      <c r="AC72" s="127">
        <v>150000000</v>
      </c>
      <c r="AD72" s="59" t="s">
        <v>53</v>
      </c>
      <c r="AE72" s="58" t="s">
        <v>49</v>
      </c>
      <c r="AF72" s="58"/>
      <c r="AG72" s="58"/>
      <c r="AH72" s="757"/>
      <c r="AI72" s="757"/>
      <c r="AJ72" s="58"/>
      <c r="AK72" s="58"/>
      <c r="AL72" s="58"/>
      <c r="AM72" s="760"/>
      <c r="AN72" s="59" t="s">
        <v>263</v>
      </c>
      <c r="AO72" s="113" t="s">
        <v>742</v>
      </c>
      <c r="AP72" s="763"/>
      <c r="AQ72" s="763"/>
      <c r="AR72" s="766"/>
      <c r="AS72" s="763"/>
      <c r="AT72" s="763"/>
      <c r="AU72" s="763"/>
      <c r="AV72" s="763"/>
      <c r="AW72" s="3"/>
      <c r="AX72" s="3"/>
      <c r="AY72" s="3"/>
      <c r="AZ72" s="3"/>
      <c r="BA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row>
    <row r="73" spans="1:119" s="158" customFormat="1" ht="45" customHeight="1">
      <c r="A73" s="55"/>
      <c r="B73" s="55"/>
      <c r="C73" s="56"/>
      <c r="D73" s="55"/>
      <c r="E73" s="722" t="s">
        <v>770</v>
      </c>
      <c r="F73" s="723"/>
      <c r="G73" s="723"/>
      <c r="H73" s="723"/>
      <c r="I73" s="723"/>
      <c r="J73" s="723"/>
      <c r="K73" s="723"/>
      <c r="L73" s="723"/>
      <c r="M73" s="723"/>
      <c r="N73" s="723"/>
      <c r="O73" s="723"/>
      <c r="P73" s="723"/>
      <c r="Q73" s="724"/>
      <c r="R73" s="269">
        <f>AVERAGE(R61:R72)</f>
        <v>0.18492537313432836</v>
      </c>
      <c r="S73" s="190"/>
      <c r="T73" s="190"/>
      <c r="U73" s="191"/>
      <c r="V73" s="58"/>
      <c r="W73" s="59"/>
      <c r="X73" s="58"/>
      <c r="Y73" s="59"/>
      <c r="Z73" s="59"/>
      <c r="AA73" s="60"/>
      <c r="AB73" s="69"/>
      <c r="AC73" s="127"/>
      <c r="AD73" s="59"/>
      <c r="AE73" s="58"/>
      <c r="AF73" s="58"/>
      <c r="AG73" s="58"/>
      <c r="AH73" s="222"/>
      <c r="AI73" s="222"/>
      <c r="AJ73" s="58"/>
      <c r="AK73" s="58"/>
      <c r="AL73" s="58"/>
      <c r="AM73" s="223"/>
      <c r="AN73" s="59"/>
      <c r="AO73" s="257" t="s">
        <v>767</v>
      </c>
      <c r="AP73" s="242">
        <f>SUM(AP61)</f>
        <v>8250277366.1000004</v>
      </c>
      <c r="AQ73" s="242">
        <f t="shared" ref="AQ73:AT73" si="6">SUM(AQ61)</f>
        <v>1158543000</v>
      </c>
      <c r="AR73" s="270">
        <f t="shared" si="6"/>
        <v>0.1404</v>
      </c>
      <c r="AS73" s="242">
        <f t="shared" si="6"/>
        <v>0</v>
      </c>
      <c r="AT73" s="242">
        <f t="shared" si="6"/>
        <v>0</v>
      </c>
      <c r="AU73" s="271">
        <v>0</v>
      </c>
      <c r="AV73" s="271">
        <v>0</v>
      </c>
      <c r="AW73" s="3"/>
      <c r="AX73" s="3"/>
      <c r="AY73" s="3"/>
      <c r="AZ73" s="3"/>
      <c r="BA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row>
    <row r="74" spans="1:119" s="159" customFormat="1" ht="409.6">
      <c r="A74" s="61" t="s">
        <v>257</v>
      </c>
      <c r="B74" s="61" t="s">
        <v>199</v>
      </c>
      <c r="C74" s="62" t="s">
        <v>361</v>
      </c>
      <c r="D74" s="61" t="s">
        <v>215</v>
      </c>
      <c r="E74" s="61" t="s">
        <v>264</v>
      </c>
      <c r="F74" s="63">
        <v>2024130010136</v>
      </c>
      <c r="G74" s="61" t="s">
        <v>323</v>
      </c>
      <c r="H74" s="61" t="s">
        <v>324</v>
      </c>
      <c r="I74" s="61" t="s">
        <v>244</v>
      </c>
      <c r="J74" s="174">
        <v>0</v>
      </c>
      <c r="K74" s="210">
        <v>0.15</v>
      </c>
      <c r="L74" s="129" t="s">
        <v>325</v>
      </c>
      <c r="M74" s="64" t="s">
        <v>632</v>
      </c>
      <c r="N74" s="64" t="s">
        <v>798</v>
      </c>
      <c r="O74" s="64" t="s">
        <v>499</v>
      </c>
      <c r="P74" s="211">
        <v>2</v>
      </c>
      <c r="Q74" s="65">
        <v>0</v>
      </c>
      <c r="R74" s="272">
        <v>0</v>
      </c>
      <c r="S74" s="190">
        <v>45660</v>
      </c>
      <c r="T74" s="190">
        <v>46022</v>
      </c>
      <c r="U74" s="191">
        <f t="shared" si="0"/>
        <v>362</v>
      </c>
      <c r="V74" s="65" t="s">
        <v>350</v>
      </c>
      <c r="W74" s="64" t="s">
        <v>352</v>
      </c>
      <c r="X74" s="65" t="s">
        <v>360</v>
      </c>
      <c r="Y74" s="66" t="s">
        <v>395</v>
      </c>
      <c r="Z74" s="186" t="s">
        <v>396</v>
      </c>
      <c r="AA74" s="67" t="s">
        <v>351</v>
      </c>
      <c r="AB74" s="129" t="s">
        <v>596</v>
      </c>
      <c r="AC74" s="130">
        <v>31000000</v>
      </c>
      <c r="AD74" s="65" t="s">
        <v>55</v>
      </c>
      <c r="AE74" s="65" t="s">
        <v>49</v>
      </c>
      <c r="AF74" s="65"/>
      <c r="AG74" s="65"/>
      <c r="AH74" s="775">
        <v>565956339</v>
      </c>
      <c r="AI74" s="775"/>
      <c r="AJ74" s="65"/>
      <c r="AK74" s="65"/>
      <c r="AL74" s="65"/>
      <c r="AM74" s="778" t="s">
        <v>649</v>
      </c>
      <c r="AN74" s="64" t="s">
        <v>264</v>
      </c>
      <c r="AO74" s="114" t="s">
        <v>743</v>
      </c>
      <c r="AP74" s="770">
        <v>565956339</v>
      </c>
      <c r="AQ74" s="770">
        <v>60165000</v>
      </c>
      <c r="AR74" s="767">
        <v>0.10630000000000001</v>
      </c>
      <c r="AS74" s="770">
        <v>0</v>
      </c>
      <c r="AT74" s="770">
        <v>0</v>
      </c>
      <c r="AU74" s="773">
        <v>0</v>
      </c>
      <c r="AV74" s="773">
        <v>0</v>
      </c>
      <c r="AW74" s="3"/>
      <c r="AX74" s="3"/>
      <c r="AY74" s="3"/>
      <c r="AZ74" s="3"/>
      <c r="BA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row>
    <row r="75" spans="1:119" s="159" customFormat="1" ht="72">
      <c r="A75" s="61" t="s">
        <v>257</v>
      </c>
      <c r="B75" s="61" t="s">
        <v>199</v>
      </c>
      <c r="C75" s="62" t="s">
        <v>361</v>
      </c>
      <c r="D75" s="61" t="s">
        <v>215</v>
      </c>
      <c r="E75" s="61" t="s">
        <v>264</v>
      </c>
      <c r="F75" s="63">
        <v>2024130010136</v>
      </c>
      <c r="G75" s="61" t="s">
        <v>323</v>
      </c>
      <c r="H75" s="61" t="s">
        <v>324</v>
      </c>
      <c r="I75" s="61" t="s">
        <v>244</v>
      </c>
      <c r="J75" s="174">
        <v>0</v>
      </c>
      <c r="K75" s="210">
        <v>0.15</v>
      </c>
      <c r="L75" s="64" t="s">
        <v>326</v>
      </c>
      <c r="M75" s="64"/>
      <c r="N75" s="64" t="s">
        <v>799</v>
      </c>
      <c r="O75" s="64">
        <v>140</v>
      </c>
      <c r="P75" s="211">
        <v>10</v>
      </c>
      <c r="Q75" s="65">
        <v>0</v>
      </c>
      <c r="R75" s="272">
        <v>0</v>
      </c>
      <c r="S75" s="190">
        <v>45660</v>
      </c>
      <c r="T75" s="190">
        <v>46022</v>
      </c>
      <c r="U75" s="191">
        <f t="shared" ref="U75:U138" si="7">+T75-S75</f>
        <v>362</v>
      </c>
      <c r="V75" s="65" t="s">
        <v>350</v>
      </c>
      <c r="W75" s="64" t="s">
        <v>352</v>
      </c>
      <c r="X75" s="65" t="s">
        <v>360</v>
      </c>
      <c r="Y75" s="64" t="s">
        <v>385</v>
      </c>
      <c r="Z75" s="64" t="s">
        <v>386</v>
      </c>
      <c r="AA75" s="67" t="s">
        <v>351</v>
      </c>
      <c r="AB75" s="129" t="s">
        <v>596</v>
      </c>
      <c r="AC75" s="130">
        <v>31000000</v>
      </c>
      <c r="AD75" s="65" t="s">
        <v>55</v>
      </c>
      <c r="AE75" s="65" t="s">
        <v>49</v>
      </c>
      <c r="AF75" s="65"/>
      <c r="AG75" s="65"/>
      <c r="AH75" s="776"/>
      <c r="AI75" s="776"/>
      <c r="AJ75" s="65"/>
      <c r="AK75" s="65"/>
      <c r="AL75" s="65"/>
      <c r="AM75" s="779"/>
      <c r="AN75" s="64" t="s">
        <v>264</v>
      </c>
      <c r="AO75" s="114" t="s">
        <v>743</v>
      </c>
      <c r="AP75" s="771"/>
      <c r="AQ75" s="771"/>
      <c r="AR75" s="768"/>
      <c r="AS75" s="771"/>
      <c r="AT75" s="771"/>
      <c r="AU75" s="771"/>
      <c r="AV75" s="771"/>
      <c r="AW75" s="3"/>
      <c r="AX75" s="3"/>
      <c r="AY75" s="3"/>
      <c r="AZ75" s="3"/>
      <c r="BA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row>
    <row r="76" spans="1:119" s="159" customFormat="1" ht="72">
      <c r="A76" s="61" t="s">
        <v>257</v>
      </c>
      <c r="B76" s="61" t="s">
        <v>199</v>
      </c>
      <c r="C76" s="62" t="s">
        <v>361</v>
      </c>
      <c r="D76" s="61" t="s">
        <v>215</v>
      </c>
      <c r="E76" s="61" t="s">
        <v>264</v>
      </c>
      <c r="F76" s="63">
        <v>2024130010136</v>
      </c>
      <c r="G76" s="61" t="s">
        <v>323</v>
      </c>
      <c r="H76" s="61" t="s">
        <v>324</v>
      </c>
      <c r="I76" s="61" t="s">
        <v>244</v>
      </c>
      <c r="J76" s="174">
        <v>0</v>
      </c>
      <c r="K76" s="210">
        <v>0.15</v>
      </c>
      <c r="L76" s="64" t="s">
        <v>326</v>
      </c>
      <c r="M76" s="64"/>
      <c r="N76" s="64" t="s">
        <v>799</v>
      </c>
      <c r="O76" s="64">
        <v>140</v>
      </c>
      <c r="P76" s="211">
        <v>10</v>
      </c>
      <c r="Q76" s="65">
        <v>0</v>
      </c>
      <c r="R76" s="272">
        <v>0</v>
      </c>
      <c r="S76" s="190">
        <v>45660</v>
      </c>
      <c r="T76" s="190">
        <v>46022</v>
      </c>
      <c r="U76" s="191">
        <f t="shared" si="7"/>
        <v>362</v>
      </c>
      <c r="V76" s="65" t="s">
        <v>350</v>
      </c>
      <c r="W76" s="64" t="s">
        <v>352</v>
      </c>
      <c r="X76" s="65" t="s">
        <v>360</v>
      </c>
      <c r="Y76" s="64" t="s">
        <v>385</v>
      </c>
      <c r="Z76" s="64" t="s">
        <v>386</v>
      </c>
      <c r="AA76" s="67" t="s">
        <v>351</v>
      </c>
      <c r="AB76" s="129" t="s">
        <v>685</v>
      </c>
      <c r="AC76" s="130">
        <v>5000000</v>
      </c>
      <c r="AD76" s="64" t="s">
        <v>56</v>
      </c>
      <c r="AE76" s="65" t="s">
        <v>49</v>
      </c>
      <c r="AF76" s="65"/>
      <c r="AG76" s="65"/>
      <c r="AH76" s="776"/>
      <c r="AI76" s="776"/>
      <c r="AJ76" s="65"/>
      <c r="AK76" s="65"/>
      <c r="AL76" s="65"/>
      <c r="AM76" s="779"/>
      <c r="AN76" s="64"/>
      <c r="AO76" s="114" t="s">
        <v>743</v>
      </c>
      <c r="AP76" s="771"/>
      <c r="AQ76" s="771"/>
      <c r="AR76" s="768"/>
      <c r="AS76" s="771"/>
      <c r="AT76" s="771"/>
      <c r="AU76" s="771"/>
      <c r="AV76" s="771"/>
      <c r="AW76" s="3"/>
      <c r="AX76" s="3"/>
      <c r="AY76" s="3"/>
      <c r="AZ76" s="3"/>
      <c r="BA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row>
    <row r="77" spans="1:119" s="159" customFormat="1" ht="90">
      <c r="A77" s="61" t="s">
        <v>257</v>
      </c>
      <c r="B77" s="61" t="s">
        <v>199</v>
      </c>
      <c r="C77" s="62" t="s">
        <v>361</v>
      </c>
      <c r="D77" s="61" t="s">
        <v>334</v>
      </c>
      <c r="E77" s="61" t="s">
        <v>264</v>
      </c>
      <c r="F77" s="63">
        <v>2024130010136</v>
      </c>
      <c r="G77" s="61" t="s">
        <v>323</v>
      </c>
      <c r="H77" s="106" t="s">
        <v>294</v>
      </c>
      <c r="I77" s="61" t="s">
        <v>411</v>
      </c>
      <c r="J77" s="174">
        <v>7166</v>
      </c>
      <c r="K77" s="210">
        <v>0.25</v>
      </c>
      <c r="L77" s="61" t="s">
        <v>295</v>
      </c>
      <c r="M77" s="64"/>
      <c r="N77" s="64" t="s">
        <v>800</v>
      </c>
      <c r="O77" s="64">
        <v>7166</v>
      </c>
      <c r="P77" s="211">
        <v>7000</v>
      </c>
      <c r="Q77" s="65">
        <v>429</v>
      </c>
      <c r="R77" s="273">
        <f>+Q77/P77</f>
        <v>6.1285714285714284E-2</v>
      </c>
      <c r="S77" s="190">
        <v>45660</v>
      </c>
      <c r="T77" s="190">
        <v>46022</v>
      </c>
      <c r="U77" s="191">
        <f t="shared" si="7"/>
        <v>362</v>
      </c>
      <c r="V77" s="61">
        <v>7000</v>
      </c>
      <c r="W77" s="64" t="s">
        <v>352</v>
      </c>
      <c r="X77" s="65" t="s">
        <v>360</v>
      </c>
      <c r="Y77" s="66" t="s">
        <v>397</v>
      </c>
      <c r="Z77" s="65" t="s">
        <v>398</v>
      </c>
      <c r="AA77" s="67" t="s">
        <v>351</v>
      </c>
      <c r="AB77" s="129" t="s">
        <v>596</v>
      </c>
      <c r="AC77" s="130">
        <v>62000000</v>
      </c>
      <c r="AD77" s="65" t="s">
        <v>55</v>
      </c>
      <c r="AE77" s="65" t="s">
        <v>49</v>
      </c>
      <c r="AF77" s="65"/>
      <c r="AG77" s="65"/>
      <c r="AH77" s="776"/>
      <c r="AI77" s="776"/>
      <c r="AJ77" s="65"/>
      <c r="AK77" s="65"/>
      <c r="AL77" s="65"/>
      <c r="AM77" s="779"/>
      <c r="AN77" s="64" t="s">
        <v>264</v>
      </c>
      <c r="AO77" s="114" t="s">
        <v>759</v>
      </c>
      <c r="AP77" s="771"/>
      <c r="AQ77" s="771"/>
      <c r="AR77" s="768"/>
      <c r="AS77" s="771"/>
      <c r="AT77" s="771"/>
      <c r="AU77" s="771"/>
      <c r="AV77" s="771"/>
      <c r="AW77" s="3"/>
      <c r="AX77" s="3"/>
      <c r="AY77" s="3"/>
      <c r="AZ77" s="3"/>
      <c r="BA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row>
    <row r="78" spans="1:119" s="159" customFormat="1" ht="409.6">
      <c r="A78" s="61" t="s">
        <v>257</v>
      </c>
      <c r="B78" s="61" t="s">
        <v>199</v>
      </c>
      <c r="C78" s="62" t="s">
        <v>361</v>
      </c>
      <c r="D78" s="61" t="s">
        <v>334</v>
      </c>
      <c r="E78" s="61" t="s">
        <v>264</v>
      </c>
      <c r="F78" s="63">
        <v>2024130010136</v>
      </c>
      <c r="G78" s="61" t="s">
        <v>323</v>
      </c>
      <c r="H78" s="64" t="s">
        <v>294</v>
      </c>
      <c r="I78" s="61" t="s">
        <v>411</v>
      </c>
      <c r="J78" s="174">
        <v>7166</v>
      </c>
      <c r="K78" s="210">
        <v>0.25</v>
      </c>
      <c r="L78" s="61" t="s">
        <v>298</v>
      </c>
      <c r="M78" s="64" t="s">
        <v>632</v>
      </c>
      <c r="N78" s="64" t="s">
        <v>801</v>
      </c>
      <c r="O78" s="64">
        <v>7166</v>
      </c>
      <c r="P78" s="211">
        <v>7000</v>
      </c>
      <c r="Q78" s="65">
        <v>429</v>
      </c>
      <c r="R78" s="273">
        <f>+Q78/P78</f>
        <v>6.1285714285714284E-2</v>
      </c>
      <c r="S78" s="190">
        <v>45660</v>
      </c>
      <c r="T78" s="190">
        <v>46022</v>
      </c>
      <c r="U78" s="191">
        <f t="shared" si="7"/>
        <v>362</v>
      </c>
      <c r="V78" s="61">
        <v>7000</v>
      </c>
      <c r="W78" s="64" t="s">
        <v>352</v>
      </c>
      <c r="X78" s="65" t="s">
        <v>360</v>
      </c>
      <c r="Y78" s="64" t="s">
        <v>399</v>
      </c>
      <c r="Z78" s="65" t="s">
        <v>400</v>
      </c>
      <c r="AA78" s="67" t="s">
        <v>351</v>
      </c>
      <c r="AB78" s="129" t="s">
        <v>596</v>
      </c>
      <c r="AC78" s="130">
        <v>63000000</v>
      </c>
      <c r="AD78" s="65" t="s">
        <v>55</v>
      </c>
      <c r="AE78" s="65" t="s">
        <v>49</v>
      </c>
      <c r="AF78" s="65"/>
      <c r="AG78" s="65"/>
      <c r="AH78" s="776"/>
      <c r="AI78" s="776"/>
      <c r="AJ78" s="65"/>
      <c r="AK78" s="65"/>
      <c r="AL78" s="65"/>
      <c r="AM78" s="779"/>
      <c r="AN78" s="64" t="s">
        <v>264</v>
      </c>
      <c r="AO78" s="114" t="s">
        <v>759</v>
      </c>
      <c r="AP78" s="771"/>
      <c r="AQ78" s="771"/>
      <c r="AR78" s="768"/>
      <c r="AS78" s="771"/>
      <c r="AT78" s="771"/>
      <c r="AU78" s="771"/>
      <c r="AV78" s="771"/>
      <c r="AW78" s="3"/>
      <c r="AX78" s="3"/>
      <c r="AY78" s="3"/>
      <c r="AZ78" s="3"/>
      <c r="BA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row>
    <row r="79" spans="1:119" s="159" customFormat="1" ht="409.6">
      <c r="A79" s="61" t="s">
        <v>257</v>
      </c>
      <c r="B79" s="61" t="s">
        <v>199</v>
      </c>
      <c r="C79" s="62" t="s">
        <v>361</v>
      </c>
      <c r="D79" s="61" t="s">
        <v>334</v>
      </c>
      <c r="E79" s="61" t="s">
        <v>264</v>
      </c>
      <c r="F79" s="63">
        <v>2024130010136</v>
      </c>
      <c r="G79" s="61" t="s">
        <v>323</v>
      </c>
      <c r="H79" s="64" t="s">
        <v>294</v>
      </c>
      <c r="I79" s="61" t="s">
        <v>411</v>
      </c>
      <c r="J79" s="174">
        <v>7166</v>
      </c>
      <c r="K79" s="210">
        <v>0.25</v>
      </c>
      <c r="L79" s="61" t="s">
        <v>298</v>
      </c>
      <c r="M79" s="64" t="s">
        <v>632</v>
      </c>
      <c r="N79" s="64" t="s">
        <v>801</v>
      </c>
      <c r="O79" s="64">
        <v>7166</v>
      </c>
      <c r="P79" s="211">
        <v>7000</v>
      </c>
      <c r="Q79" s="65">
        <v>429</v>
      </c>
      <c r="R79" s="273">
        <f t="shared" ref="R79:R84" si="8">+Q79/P79</f>
        <v>6.1285714285714284E-2</v>
      </c>
      <c r="S79" s="190">
        <v>45660</v>
      </c>
      <c r="T79" s="190">
        <v>46022</v>
      </c>
      <c r="U79" s="191">
        <f t="shared" si="7"/>
        <v>362</v>
      </c>
      <c r="V79" s="61">
        <v>7000</v>
      </c>
      <c r="W79" s="64" t="s">
        <v>352</v>
      </c>
      <c r="X79" s="65" t="s">
        <v>360</v>
      </c>
      <c r="Y79" s="64" t="s">
        <v>399</v>
      </c>
      <c r="Z79" s="65" t="s">
        <v>400</v>
      </c>
      <c r="AA79" s="67" t="s">
        <v>351</v>
      </c>
      <c r="AB79" s="129" t="s">
        <v>686</v>
      </c>
      <c r="AC79" s="130">
        <v>204956339</v>
      </c>
      <c r="AD79" s="64" t="s">
        <v>53</v>
      </c>
      <c r="AE79" s="129" t="s">
        <v>679</v>
      </c>
      <c r="AF79" s="65"/>
      <c r="AG79" s="65"/>
      <c r="AH79" s="776"/>
      <c r="AI79" s="776"/>
      <c r="AJ79" s="65"/>
      <c r="AK79" s="65"/>
      <c r="AL79" s="65"/>
      <c r="AM79" s="779"/>
      <c r="AN79" s="64" t="s">
        <v>264</v>
      </c>
      <c r="AO79" s="114" t="s">
        <v>759</v>
      </c>
      <c r="AP79" s="771"/>
      <c r="AQ79" s="771"/>
      <c r="AR79" s="768"/>
      <c r="AS79" s="771"/>
      <c r="AT79" s="771"/>
      <c r="AU79" s="771"/>
      <c r="AV79" s="771"/>
      <c r="AW79" s="3"/>
      <c r="AX79" s="3"/>
      <c r="AY79" s="3"/>
      <c r="AZ79" s="3"/>
      <c r="BA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row>
    <row r="80" spans="1:119" s="159" customFormat="1" ht="409.6">
      <c r="A80" s="61" t="s">
        <v>257</v>
      </c>
      <c r="B80" s="61" t="s">
        <v>199</v>
      </c>
      <c r="C80" s="62" t="s">
        <v>361</v>
      </c>
      <c r="D80" s="61" t="s">
        <v>334</v>
      </c>
      <c r="E80" s="61" t="s">
        <v>264</v>
      </c>
      <c r="F80" s="63">
        <v>2024130010136</v>
      </c>
      <c r="G80" s="61" t="s">
        <v>323</v>
      </c>
      <c r="H80" s="64" t="s">
        <v>294</v>
      </c>
      <c r="I80" s="61" t="s">
        <v>411</v>
      </c>
      <c r="J80" s="174">
        <v>7166</v>
      </c>
      <c r="K80" s="210">
        <v>0.25</v>
      </c>
      <c r="L80" s="61" t="s">
        <v>298</v>
      </c>
      <c r="M80" s="64" t="s">
        <v>632</v>
      </c>
      <c r="N80" s="64" t="s">
        <v>801</v>
      </c>
      <c r="O80" s="64">
        <v>7166</v>
      </c>
      <c r="P80" s="211">
        <v>7000</v>
      </c>
      <c r="Q80" s="65">
        <v>429</v>
      </c>
      <c r="R80" s="273">
        <f t="shared" si="8"/>
        <v>6.1285714285714284E-2</v>
      </c>
      <c r="S80" s="190">
        <v>45660</v>
      </c>
      <c r="T80" s="190">
        <v>46022</v>
      </c>
      <c r="U80" s="191">
        <f t="shared" si="7"/>
        <v>362</v>
      </c>
      <c r="V80" s="61">
        <v>7000</v>
      </c>
      <c r="W80" s="64" t="s">
        <v>352</v>
      </c>
      <c r="X80" s="65" t="s">
        <v>360</v>
      </c>
      <c r="Y80" s="64" t="s">
        <v>399</v>
      </c>
      <c r="Z80" s="65" t="s">
        <v>400</v>
      </c>
      <c r="AA80" s="67" t="s">
        <v>351</v>
      </c>
      <c r="AB80" s="129" t="s">
        <v>670</v>
      </c>
      <c r="AC80" s="130">
        <v>51000000</v>
      </c>
      <c r="AD80" s="64" t="s">
        <v>52</v>
      </c>
      <c r="AE80" s="65" t="s">
        <v>49</v>
      </c>
      <c r="AF80" s="65"/>
      <c r="AG80" s="65"/>
      <c r="AH80" s="776"/>
      <c r="AI80" s="776"/>
      <c r="AJ80" s="65"/>
      <c r="AK80" s="65"/>
      <c r="AL80" s="65"/>
      <c r="AM80" s="779"/>
      <c r="AN80" s="64" t="s">
        <v>264</v>
      </c>
      <c r="AO80" s="114" t="s">
        <v>759</v>
      </c>
      <c r="AP80" s="771"/>
      <c r="AQ80" s="771"/>
      <c r="AR80" s="768"/>
      <c r="AS80" s="771"/>
      <c r="AT80" s="771"/>
      <c r="AU80" s="771"/>
      <c r="AV80" s="771"/>
      <c r="AW80" s="3"/>
      <c r="AX80" s="3"/>
      <c r="AY80" s="3"/>
      <c r="AZ80" s="3"/>
      <c r="BA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row>
    <row r="81" spans="1:119" s="159" customFormat="1" ht="409.6">
      <c r="A81" s="61" t="s">
        <v>257</v>
      </c>
      <c r="B81" s="61" t="s">
        <v>199</v>
      </c>
      <c r="C81" s="62" t="s">
        <v>361</v>
      </c>
      <c r="D81" s="61" t="s">
        <v>334</v>
      </c>
      <c r="E81" s="61" t="s">
        <v>264</v>
      </c>
      <c r="F81" s="63">
        <v>2024130010136</v>
      </c>
      <c r="G81" s="61" t="s">
        <v>323</v>
      </c>
      <c r="H81" s="64" t="s">
        <v>294</v>
      </c>
      <c r="I81" s="61" t="s">
        <v>411</v>
      </c>
      <c r="J81" s="174">
        <v>7166</v>
      </c>
      <c r="K81" s="210">
        <v>0.25</v>
      </c>
      <c r="L81" s="61" t="s">
        <v>298</v>
      </c>
      <c r="M81" s="64" t="s">
        <v>632</v>
      </c>
      <c r="N81" s="64" t="s">
        <v>801</v>
      </c>
      <c r="O81" s="64">
        <v>7166</v>
      </c>
      <c r="P81" s="211">
        <v>7000</v>
      </c>
      <c r="Q81" s="65">
        <v>429</v>
      </c>
      <c r="R81" s="273">
        <f t="shared" si="8"/>
        <v>6.1285714285714284E-2</v>
      </c>
      <c r="S81" s="190">
        <v>45660</v>
      </c>
      <c r="T81" s="190">
        <v>46022</v>
      </c>
      <c r="U81" s="191">
        <f t="shared" si="7"/>
        <v>362</v>
      </c>
      <c r="V81" s="61">
        <v>7000</v>
      </c>
      <c r="W81" s="64" t="s">
        <v>352</v>
      </c>
      <c r="X81" s="65" t="s">
        <v>360</v>
      </c>
      <c r="Y81" s="64" t="s">
        <v>399</v>
      </c>
      <c r="Z81" s="65" t="s">
        <v>400</v>
      </c>
      <c r="AA81" s="67" t="s">
        <v>351</v>
      </c>
      <c r="AB81" s="129" t="s">
        <v>602</v>
      </c>
      <c r="AC81" s="130">
        <v>25000000</v>
      </c>
      <c r="AD81" s="64" t="s">
        <v>56</v>
      </c>
      <c r="AE81" s="65" t="s">
        <v>49</v>
      </c>
      <c r="AF81" s="65"/>
      <c r="AG81" s="65"/>
      <c r="AH81" s="776"/>
      <c r="AI81" s="776"/>
      <c r="AJ81" s="65"/>
      <c r="AK81" s="65"/>
      <c r="AL81" s="65"/>
      <c r="AM81" s="779"/>
      <c r="AN81" s="64" t="s">
        <v>264</v>
      </c>
      <c r="AO81" s="114" t="s">
        <v>759</v>
      </c>
      <c r="AP81" s="771"/>
      <c r="AQ81" s="771"/>
      <c r="AR81" s="768"/>
      <c r="AS81" s="771"/>
      <c r="AT81" s="771"/>
      <c r="AU81" s="771"/>
      <c r="AV81" s="771"/>
      <c r="AW81" s="3"/>
      <c r="AX81" s="3"/>
      <c r="AY81" s="3"/>
      <c r="AZ81" s="3"/>
      <c r="BA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row>
    <row r="82" spans="1:119" s="159" customFormat="1" ht="90">
      <c r="A82" s="61" t="s">
        <v>257</v>
      </c>
      <c r="B82" s="61" t="s">
        <v>199</v>
      </c>
      <c r="C82" s="62" t="s">
        <v>361</v>
      </c>
      <c r="D82" s="61" t="s">
        <v>334</v>
      </c>
      <c r="E82" s="61" t="s">
        <v>264</v>
      </c>
      <c r="F82" s="63">
        <v>2024130010136</v>
      </c>
      <c r="G82" s="61" t="s">
        <v>323</v>
      </c>
      <c r="H82" s="64" t="s">
        <v>294</v>
      </c>
      <c r="I82" s="61" t="s">
        <v>411</v>
      </c>
      <c r="J82" s="174">
        <v>7166</v>
      </c>
      <c r="K82" s="210">
        <v>0.25</v>
      </c>
      <c r="L82" s="61" t="s">
        <v>299</v>
      </c>
      <c r="M82" s="65"/>
      <c r="N82" s="64" t="s">
        <v>802</v>
      </c>
      <c r="O82" s="64">
        <v>7166</v>
      </c>
      <c r="P82" s="211">
        <v>7000</v>
      </c>
      <c r="Q82" s="65">
        <v>429</v>
      </c>
      <c r="R82" s="273">
        <f t="shared" si="8"/>
        <v>6.1285714285714284E-2</v>
      </c>
      <c r="S82" s="190">
        <v>45660</v>
      </c>
      <c r="T82" s="190">
        <v>46022</v>
      </c>
      <c r="U82" s="191">
        <f t="shared" si="7"/>
        <v>362</v>
      </c>
      <c r="V82" s="61">
        <v>7000</v>
      </c>
      <c r="W82" s="64" t="s">
        <v>352</v>
      </c>
      <c r="X82" s="65" t="s">
        <v>360</v>
      </c>
      <c r="Y82" s="64" t="s">
        <v>401</v>
      </c>
      <c r="Z82" s="64" t="s">
        <v>402</v>
      </c>
      <c r="AA82" s="67" t="s">
        <v>351</v>
      </c>
      <c r="AB82" s="129" t="s">
        <v>596</v>
      </c>
      <c r="AC82" s="130">
        <v>31000000</v>
      </c>
      <c r="AD82" s="65" t="s">
        <v>55</v>
      </c>
      <c r="AE82" s="65" t="s">
        <v>49</v>
      </c>
      <c r="AF82" s="65"/>
      <c r="AG82" s="65"/>
      <c r="AH82" s="776"/>
      <c r="AI82" s="776"/>
      <c r="AJ82" s="65"/>
      <c r="AK82" s="65"/>
      <c r="AL82" s="65"/>
      <c r="AM82" s="779"/>
      <c r="AN82" s="64" t="s">
        <v>264</v>
      </c>
      <c r="AO82" s="114" t="s">
        <v>759</v>
      </c>
      <c r="AP82" s="771"/>
      <c r="AQ82" s="771"/>
      <c r="AR82" s="768"/>
      <c r="AS82" s="771"/>
      <c r="AT82" s="771"/>
      <c r="AU82" s="771"/>
      <c r="AV82" s="771"/>
      <c r="AW82" s="3"/>
      <c r="AX82" s="3"/>
      <c r="AY82" s="3"/>
      <c r="AZ82" s="3"/>
      <c r="BA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row>
    <row r="83" spans="1:119" s="159" customFormat="1" ht="90">
      <c r="A83" s="61" t="s">
        <v>257</v>
      </c>
      <c r="B83" s="61" t="s">
        <v>199</v>
      </c>
      <c r="C83" s="62" t="s">
        <v>361</v>
      </c>
      <c r="D83" s="61" t="s">
        <v>334</v>
      </c>
      <c r="E83" s="61" t="s">
        <v>264</v>
      </c>
      <c r="F83" s="63">
        <v>2024130010136</v>
      </c>
      <c r="G83" s="61" t="s">
        <v>323</v>
      </c>
      <c r="H83" s="64" t="s">
        <v>294</v>
      </c>
      <c r="I83" s="66" t="s">
        <v>412</v>
      </c>
      <c r="J83" s="174">
        <v>137</v>
      </c>
      <c r="K83" s="210">
        <v>0.25</v>
      </c>
      <c r="L83" s="61" t="s">
        <v>297</v>
      </c>
      <c r="M83" s="64"/>
      <c r="N83" s="64" t="s">
        <v>803</v>
      </c>
      <c r="O83" s="64">
        <v>7166</v>
      </c>
      <c r="P83" s="211">
        <v>7000</v>
      </c>
      <c r="Q83" s="65">
        <v>429</v>
      </c>
      <c r="R83" s="273">
        <f t="shared" si="8"/>
        <v>6.1285714285714284E-2</v>
      </c>
      <c r="S83" s="190">
        <v>45660</v>
      </c>
      <c r="T83" s="190">
        <v>46022</v>
      </c>
      <c r="U83" s="191">
        <f t="shared" si="7"/>
        <v>362</v>
      </c>
      <c r="V83" s="61">
        <v>7000</v>
      </c>
      <c r="W83" s="64" t="s">
        <v>352</v>
      </c>
      <c r="X83" s="65" t="s">
        <v>360</v>
      </c>
      <c r="Y83" s="64" t="s">
        <v>403</v>
      </c>
      <c r="Z83" s="64" t="s">
        <v>404</v>
      </c>
      <c r="AA83" s="67" t="s">
        <v>351</v>
      </c>
      <c r="AB83" s="129" t="s">
        <v>596</v>
      </c>
      <c r="AC83" s="130">
        <v>31000000</v>
      </c>
      <c r="AD83" s="65" t="s">
        <v>55</v>
      </c>
      <c r="AE83" s="65" t="s">
        <v>49</v>
      </c>
      <c r="AF83" s="65"/>
      <c r="AG83" s="65"/>
      <c r="AH83" s="776"/>
      <c r="AI83" s="776"/>
      <c r="AJ83" s="65"/>
      <c r="AK83" s="65"/>
      <c r="AL83" s="65"/>
      <c r="AM83" s="779"/>
      <c r="AN83" s="64" t="s">
        <v>264</v>
      </c>
      <c r="AO83" s="114" t="s">
        <v>759</v>
      </c>
      <c r="AP83" s="771"/>
      <c r="AQ83" s="771"/>
      <c r="AR83" s="768"/>
      <c r="AS83" s="771"/>
      <c r="AT83" s="771"/>
      <c r="AU83" s="771"/>
      <c r="AV83" s="771"/>
      <c r="AW83" s="3"/>
      <c r="AX83" s="3"/>
      <c r="AY83" s="3"/>
      <c r="AZ83" s="3"/>
      <c r="BA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row>
    <row r="84" spans="1:119" s="159" customFormat="1" ht="90">
      <c r="A84" s="61" t="s">
        <v>257</v>
      </c>
      <c r="B84" s="61" t="s">
        <v>199</v>
      </c>
      <c r="C84" s="62" t="s">
        <v>361</v>
      </c>
      <c r="D84" s="61" t="s">
        <v>217</v>
      </c>
      <c r="E84" s="61" t="s">
        <v>264</v>
      </c>
      <c r="F84" s="63">
        <v>2024130010136</v>
      </c>
      <c r="G84" s="61" t="s">
        <v>323</v>
      </c>
      <c r="H84" s="64" t="s">
        <v>294</v>
      </c>
      <c r="I84" s="66" t="s">
        <v>412</v>
      </c>
      <c r="J84" s="174">
        <v>137</v>
      </c>
      <c r="K84" s="210">
        <v>0.1</v>
      </c>
      <c r="L84" s="61" t="s">
        <v>296</v>
      </c>
      <c r="M84" s="64"/>
      <c r="N84" s="64" t="s">
        <v>663</v>
      </c>
      <c r="O84" s="64">
        <v>20</v>
      </c>
      <c r="P84" s="211">
        <v>7000</v>
      </c>
      <c r="Q84" s="65">
        <v>0</v>
      </c>
      <c r="R84" s="273">
        <f t="shared" si="8"/>
        <v>0</v>
      </c>
      <c r="S84" s="190">
        <v>45660</v>
      </c>
      <c r="T84" s="190">
        <v>46022</v>
      </c>
      <c r="U84" s="191">
        <f t="shared" si="7"/>
        <v>362</v>
      </c>
      <c r="V84" s="65" t="s">
        <v>350</v>
      </c>
      <c r="W84" s="64" t="s">
        <v>352</v>
      </c>
      <c r="X84" s="65" t="s">
        <v>360</v>
      </c>
      <c r="Y84" s="64" t="s">
        <v>383</v>
      </c>
      <c r="Z84" s="64" t="s">
        <v>384</v>
      </c>
      <c r="AA84" s="67" t="s">
        <v>351</v>
      </c>
      <c r="AB84" s="129" t="s">
        <v>596</v>
      </c>
      <c r="AC84" s="130">
        <v>31000000</v>
      </c>
      <c r="AD84" s="65" t="s">
        <v>55</v>
      </c>
      <c r="AE84" s="65" t="s">
        <v>49</v>
      </c>
      <c r="AF84" s="65"/>
      <c r="AG84" s="65"/>
      <c r="AH84" s="777"/>
      <c r="AI84" s="777"/>
      <c r="AJ84" s="65"/>
      <c r="AK84" s="65"/>
      <c r="AL84" s="65"/>
      <c r="AM84" s="780"/>
      <c r="AN84" s="64" t="s">
        <v>264</v>
      </c>
      <c r="AO84" s="114" t="s">
        <v>759</v>
      </c>
      <c r="AP84" s="772"/>
      <c r="AQ84" s="772"/>
      <c r="AR84" s="769"/>
      <c r="AS84" s="772"/>
      <c r="AT84" s="772"/>
      <c r="AU84" s="772"/>
      <c r="AV84" s="772"/>
      <c r="AW84" s="3"/>
      <c r="AX84" s="3"/>
      <c r="AY84" s="3"/>
      <c r="AZ84" s="3"/>
      <c r="BA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row>
    <row r="85" spans="1:119" s="159" customFormat="1" ht="60.75" customHeight="1">
      <c r="A85" s="61"/>
      <c r="B85" s="61"/>
      <c r="C85" s="62"/>
      <c r="D85" s="61"/>
      <c r="E85" s="722" t="s">
        <v>771</v>
      </c>
      <c r="F85" s="723"/>
      <c r="G85" s="723"/>
      <c r="H85" s="723"/>
      <c r="I85" s="723"/>
      <c r="J85" s="723"/>
      <c r="K85" s="723"/>
      <c r="L85" s="723"/>
      <c r="M85" s="723"/>
      <c r="N85" s="723"/>
      <c r="O85" s="723"/>
      <c r="P85" s="723"/>
      <c r="Q85" s="724"/>
      <c r="R85" s="274">
        <f>AVERAGE(R74:R84)</f>
        <v>3.9E-2</v>
      </c>
      <c r="S85" s="190"/>
      <c r="T85" s="190"/>
      <c r="U85" s="191"/>
      <c r="V85" s="65"/>
      <c r="W85" s="64"/>
      <c r="X85" s="65"/>
      <c r="Y85" s="64"/>
      <c r="Z85" s="64"/>
      <c r="AA85" s="67"/>
      <c r="AB85" s="129"/>
      <c r="AC85" s="130"/>
      <c r="AD85" s="65"/>
      <c r="AE85" s="65"/>
      <c r="AF85" s="65"/>
      <c r="AG85" s="65"/>
      <c r="AH85" s="226"/>
      <c r="AI85" s="226"/>
      <c r="AJ85" s="65"/>
      <c r="AK85" s="65"/>
      <c r="AL85" s="65"/>
      <c r="AM85" s="225"/>
      <c r="AN85" s="64"/>
      <c r="AO85" s="257" t="s">
        <v>767</v>
      </c>
      <c r="AP85" s="247">
        <f>SUM(AP74)</f>
        <v>565956339</v>
      </c>
      <c r="AQ85" s="247">
        <f t="shared" ref="AQ85:AT85" si="9">SUM(AQ74)</f>
        <v>60165000</v>
      </c>
      <c r="AR85" s="275">
        <f t="shared" si="9"/>
        <v>0.10630000000000001</v>
      </c>
      <c r="AS85" s="247">
        <f t="shared" si="9"/>
        <v>0</v>
      </c>
      <c r="AT85" s="247">
        <f t="shared" si="9"/>
        <v>0</v>
      </c>
      <c r="AU85" s="276">
        <v>0</v>
      </c>
      <c r="AV85" s="276">
        <v>0</v>
      </c>
      <c r="AW85" s="3"/>
      <c r="AX85" s="3"/>
      <c r="AY85" s="3"/>
      <c r="AZ85" s="3"/>
      <c r="BA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row>
    <row r="86" spans="1:119" s="160" customFormat="1" ht="60.75" customHeight="1">
      <c r="A86" s="70" t="s">
        <v>257</v>
      </c>
      <c r="B86" s="70" t="s">
        <v>200</v>
      </c>
      <c r="C86" s="71" t="s">
        <v>362</v>
      </c>
      <c r="D86" s="70" t="s">
        <v>218</v>
      </c>
      <c r="E86" s="70" t="s">
        <v>265</v>
      </c>
      <c r="F86" s="72">
        <v>2024130010135</v>
      </c>
      <c r="G86" s="70" t="s">
        <v>273</v>
      </c>
      <c r="H86" s="70" t="s">
        <v>286</v>
      </c>
      <c r="I86" s="70" t="s">
        <v>416</v>
      </c>
      <c r="J86" s="175">
        <v>10014</v>
      </c>
      <c r="K86" s="210">
        <v>1</v>
      </c>
      <c r="L86" s="74" t="s">
        <v>304</v>
      </c>
      <c r="M86" s="73"/>
      <c r="N86" s="74" t="s">
        <v>637</v>
      </c>
      <c r="O86" s="74">
        <v>15578</v>
      </c>
      <c r="P86" s="211">
        <v>15500</v>
      </c>
      <c r="Q86" s="73">
        <v>264</v>
      </c>
      <c r="R86" s="73"/>
      <c r="S86" s="190">
        <v>45660</v>
      </c>
      <c r="T86" s="190">
        <v>46022</v>
      </c>
      <c r="U86" s="191">
        <f t="shared" si="7"/>
        <v>362</v>
      </c>
      <c r="V86" s="70">
        <v>15250</v>
      </c>
      <c r="W86" s="74" t="s">
        <v>352</v>
      </c>
      <c r="X86" s="73" t="s">
        <v>360</v>
      </c>
      <c r="Y86" s="70" t="s">
        <v>448</v>
      </c>
      <c r="Z86" s="70" t="s">
        <v>449</v>
      </c>
      <c r="AA86" s="75" t="s">
        <v>351</v>
      </c>
      <c r="AB86" s="135" t="s">
        <v>593</v>
      </c>
      <c r="AC86" s="136">
        <v>180000000</v>
      </c>
      <c r="AD86" s="73" t="s">
        <v>55</v>
      </c>
      <c r="AE86" s="73" t="s">
        <v>51</v>
      </c>
      <c r="AF86" s="73"/>
      <c r="AG86" s="73"/>
      <c r="AH86" s="796">
        <v>4017092532</v>
      </c>
      <c r="AI86" s="799"/>
      <c r="AJ86" s="73"/>
      <c r="AK86" s="73"/>
      <c r="AL86" s="73"/>
      <c r="AM86" s="802" t="s">
        <v>650</v>
      </c>
      <c r="AN86" s="74" t="s">
        <v>265</v>
      </c>
      <c r="AO86" s="152" t="s">
        <v>753</v>
      </c>
      <c r="AP86" s="786">
        <v>4193305880.3099999</v>
      </c>
      <c r="AQ86" s="786">
        <v>2301233000</v>
      </c>
      <c r="AR86" s="805">
        <v>0.54879999999999995</v>
      </c>
      <c r="AS86" s="786">
        <v>0</v>
      </c>
      <c r="AT86" s="786">
        <v>0</v>
      </c>
      <c r="AU86" s="789">
        <v>0</v>
      </c>
      <c r="AV86" s="789">
        <v>0</v>
      </c>
      <c r="AW86" s="3"/>
      <c r="AX86" s="3"/>
      <c r="AY86" s="3"/>
      <c r="AZ86" s="3"/>
      <c r="BA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row>
    <row r="87" spans="1:119" s="160" customFormat="1" ht="60">
      <c r="A87" s="70" t="s">
        <v>257</v>
      </c>
      <c r="B87" s="70" t="s">
        <v>200</v>
      </c>
      <c r="C87" s="71" t="s">
        <v>362</v>
      </c>
      <c r="D87" s="70" t="s">
        <v>218</v>
      </c>
      <c r="E87" s="70" t="s">
        <v>265</v>
      </c>
      <c r="F87" s="72">
        <v>2024130010135</v>
      </c>
      <c r="G87" s="70" t="s">
        <v>273</v>
      </c>
      <c r="H87" s="70" t="s">
        <v>286</v>
      </c>
      <c r="I87" s="70" t="s">
        <v>416</v>
      </c>
      <c r="J87" s="175">
        <v>10014</v>
      </c>
      <c r="K87" s="210">
        <v>1</v>
      </c>
      <c r="L87" s="74" t="s">
        <v>304</v>
      </c>
      <c r="M87" s="73"/>
      <c r="N87" s="74" t="s">
        <v>637</v>
      </c>
      <c r="O87" s="74">
        <v>15578</v>
      </c>
      <c r="P87" s="211">
        <v>15250</v>
      </c>
      <c r="Q87" s="73">
        <v>264</v>
      </c>
      <c r="R87" s="73"/>
      <c r="S87" s="190">
        <v>45660</v>
      </c>
      <c r="T87" s="190">
        <v>46022</v>
      </c>
      <c r="U87" s="191">
        <f t="shared" si="7"/>
        <v>362</v>
      </c>
      <c r="V87" s="70">
        <v>15250</v>
      </c>
      <c r="W87" s="74" t="s">
        <v>352</v>
      </c>
      <c r="X87" s="73" t="s">
        <v>360</v>
      </c>
      <c r="Y87" s="70" t="s">
        <v>448</v>
      </c>
      <c r="Z87" s="70" t="s">
        <v>449</v>
      </c>
      <c r="AA87" s="75" t="s">
        <v>351</v>
      </c>
      <c r="AB87" s="135" t="s">
        <v>669</v>
      </c>
      <c r="AC87" s="136">
        <v>300000000</v>
      </c>
      <c r="AD87" s="74" t="s">
        <v>53</v>
      </c>
      <c r="AE87" s="73" t="s">
        <v>49</v>
      </c>
      <c r="AF87" s="73"/>
      <c r="AG87" s="73"/>
      <c r="AH87" s="797"/>
      <c r="AI87" s="800"/>
      <c r="AJ87" s="73"/>
      <c r="AK87" s="73"/>
      <c r="AL87" s="73"/>
      <c r="AM87" s="803"/>
      <c r="AN87" s="74" t="s">
        <v>265</v>
      </c>
      <c r="AO87" s="152" t="s">
        <v>753</v>
      </c>
      <c r="AP87" s="787"/>
      <c r="AQ87" s="787"/>
      <c r="AR87" s="806"/>
      <c r="AS87" s="787"/>
      <c r="AT87" s="787"/>
      <c r="AU87" s="787"/>
      <c r="AV87" s="787"/>
      <c r="AW87" s="3"/>
      <c r="AX87" s="3"/>
      <c r="AY87" s="3"/>
      <c r="AZ87" s="3"/>
      <c r="BA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row>
    <row r="88" spans="1:119" s="160" customFormat="1" ht="60">
      <c r="A88" s="70" t="s">
        <v>257</v>
      </c>
      <c r="B88" s="70" t="s">
        <v>200</v>
      </c>
      <c r="C88" s="71" t="s">
        <v>362</v>
      </c>
      <c r="D88" s="70" t="s">
        <v>218</v>
      </c>
      <c r="E88" s="70" t="s">
        <v>265</v>
      </c>
      <c r="F88" s="72">
        <v>2024130010135</v>
      </c>
      <c r="G88" s="70" t="s">
        <v>273</v>
      </c>
      <c r="H88" s="70" t="s">
        <v>286</v>
      </c>
      <c r="I88" s="70" t="s">
        <v>416</v>
      </c>
      <c r="J88" s="175">
        <v>10014</v>
      </c>
      <c r="K88" s="210">
        <v>1</v>
      </c>
      <c r="L88" s="74" t="s">
        <v>668</v>
      </c>
      <c r="M88" s="73"/>
      <c r="N88" s="74" t="s">
        <v>804</v>
      </c>
      <c r="O88" s="74">
        <v>15578</v>
      </c>
      <c r="P88" s="211">
        <v>15250</v>
      </c>
      <c r="Q88" s="73">
        <v>264</v>
      </c>
      <c r="R88" s="73"/>
      <c r="S88" s="190">
        <v>45660</v>
      </c>
      <c r="T88" s="190">
        <v>46022</v>
      </c>
      <c r="U88" s="191">
        <f t="shared" si="7"/>
        <v>362</v>
      </c>
      <c r="V88" s="70">
        <v>15250</v>
      </c>
      <c r="W88" s="74" t="s">
        <v>352</v>
      </c>
      <c r="X88" s="73" t="s">
        <v>360</v>
      </c>
      <c r="Y88" s="70" t="s">
        <v>448</v>
      </c>
      <c r="Z88" s="70" t="s">
        <v>449</v>
      </c>
      <c r="AA88" s="75" t="s">
        <v>351</v>
      </c>
      <c r="AB88" s="135" t="s">
        <v>670</v>
      </c>
      <c r="AC88" s="136">
        <v>80000000</v>
      </c>
      <c r="AD88" s="74" t="s">
        <v>52</v>
      </c>
      <c r="AE88" s="73" t="s">
        <v>49</v>
      </c>
      <c r="AF88" s="73"/>
      <c r="AG88" s="73"/>
      <c r="AH88" s="797"/>
      <c r="AI88" s="800"/>
      <c r="AJ88" s="73"/>
      <c r="AK88" s="73"/>
      <c r="AL88" s="73"/>
      <c r="AM88" s="803"/>
      <c r="AN88" s="74" t="s">
        <v>265</v>
      </c>
      <c r="AO88" s="152" t="s">
        <v>753</v>
      </c>
      <c r="AP88" s="787"/>
      <c r="AQ88" s="787"/>
      <c r="AR88" s="806"/>
      <c r="AS88" s="787"/>
      <c r="AT88" s="787"/>
      <c r="AU88" s="787"/>
      <c r="AV88" s="787"/>
      <c r="AW88" s="3"/>
      <c r="AX88" s="3"/>
      <c r="AY88" s="3"/>
      <c r="AZ88" s="3"/>
      <c r="BA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row>
    <row r="89" spans="1:119" s="160" customFormat="1" ht="60">
      <c r="A89" s="70" t="s">
        <v>257</v>
      </c>
      <c r="B89" s="70" t="s">
        <v>200</v>
      </c>
      <c r="C89" s="71" t="s">
        <v>362</v>
      </c>
      <c r="D89" s="70" t="s">
        <v>218</v>
      </c>
      <c r="E89" s="70" t="s">
        <v>265</v>
      </c>
      <c r="F89" s="72">
        <v>2024130010135</v>
      </c>
      <c r="G89" s="70" t="s">
        <v>273</v>
      </c>
      <c r="H89" s="70" t="s">
        <v>286</v>
      </c>
      <c r="I89" s="70" t="s">
        <v>416</v>
      </c>
      <c r="J89" s="175">
        <v>10014</v>
      </c>
      <c r="K89" s="210">
        <v>1</v>
      </c>
      <c r="L89" s="74" t="s">
        <v>302</v>
      </c>
      <c r="M89" s="73"/>
      <c r="N89" s="74" t="s">
        <v>805</v>
      </c>
      <c r="O89" s="74">
        <v>15578</v>
      </c>
      <c r="P89" s="211">
        <v>15250</v>
      </c>
      <c r="Q89" s="73">
        <v>264</v>
      </c>
      <c r="R89" s="73"/>
      <c r="S89" s="190">
        <v>45660</v>
      </c>
      <c r="T89" s="190">
        <v>46022</v>
      </c>
      <c r="U89" s="191">
        <f t="shared" si="7"/>
        <v>362</v>
      </c>
      <c r="V89" s="70">
        <v>15250</v>
      </c>
      <c r="W89" s="74" t="s">
        <v>352</v>
      </c>
      <c r="X89" s="73" t="s">
        <v>360</v>
      </c>
      <c r="Y89" s="70" t="s">
        <v>450</v>
      </c>
      <c r="Z89" s="70" t="s">
        <v>451</v>
      </c>
      <c r="AA89" s="75" t="s">
        <v>351</v>
      </c>
      <c r="AB89" s="135" t="s">
        <v>593</v>
      </c>
      <c r="AC89" s="136">
        <v>170000000</v>
      </c>
      <c r="AD89" s="73" t="s">
        <v>55</v>
      </c>
      <c r="AE89" s="73" t="s">
        <v>49</v>
      </c>
      <c r="AF89" s="73"/>
      <c r="AG89" s="73"/>
      <c r="AH89" s="797"/>
      <c r="AI89" s="800"/>
      <c r="AJ89" s="73"/>
      <c r="AK89" s="73"/>
      <c r="AL89" s="73"/>
      <c r="AM89" s="803"/>
      <c r="AN89" s="74" t="s">
        <v>265</v>
      </c>
      <c r="AO89" s="152" t="s">
        <v>753</v>
      </c>
      <c r="AP89" s="787"/>
      <c r="AQ89" s="787"/>
      <c r="AR89" s="806"/>
      <c r="AS89" s="787"/>
      <c r="AT89" s="787"/>
      <c r="AU89" s="787"/>
      <c r="AV89" s="787"/>
      <c r="AW89" s="3"/>
      <c r="AX89" s="3"/>
      <c r="AY89" s="3"/>
      <c r="AZ89" s="3"/>
      <c r="BA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row>
    <row r="90" spans="1:119" s="160" customFormat="1" ht="60">
      <c r="A90" s="70" t="s">
        <v>257</v>
      </c>
      <c r="B90" s="70" t="s">
        <v>200</v>
      </c>
      <c r="C90" s="71" t="s">
        <v>362</v>
      </c>
      <c r="D90" s="70" t="s">
        <v>218</v>
      </c>
      <c r="E90" s="70" t="s">
        <v>265</v>
      </c>
      <c r="F90" s="72">
        <v>2024130010135</v>
      </c>
      <c r="G90" s="70" t="s">
        <v>273</v>
      </c>
      <c r="H90" s="70" t="s">
        <v>286</v>
      </c>
      <c r="I90" s="70" t="s">
        <v>416</v>
      </c>
      <c r="J90" s="175">
        <v>10014</v>
      </c>
      <c r="K90" s="210">
        <v>1</v>
      </c>
      <c r="L90" s="74" t="s">
        <v>302</v>
      </c>
      <c r="M90" s="73"/>
      <c r="N90" s="74" t="s">
        <v>805</v>
      </c>
      <c r="O90" s="74">
        <v>15578</v>
      </c>
      <c r="P90" s="211">
        <v>15250</v>
      </c>
      <c r="Q90" s="73">
        <v>264</v>
      </c>
      <c r="R90" s="73"/>
      <c r="S90" s="190">
        <v>45660</v>
      </c>
      <c r="T90" s="190">
        <v>46022</v>
      </c>
      <c r="U90" s="191">
        <f t="shared" si="7"/>
        <v>362</v>
      </c>
      <c r="V90" s="70">
        <v>15250</v>
      </c>
      <c r="W90" s="74" t="s">
        <v>352</v>
      </c>
      <c r="X90" s="73" t="s">
        <v>360</v>
      </c>
      <c r="Y90" s="70" t="s">
        <v>452</v>
      </c>
      <c r="Z90" s="70" t="s">
        <v>453</v>
      </c>
      <c r="AA90" s="75" t="s">
        <v>351</v>
      </c>
      <c r="AB90" s="135" t="s">
        <v>671</v>
      </c>
      <c r="AC90" s="136">
        <v>480000000</v>
      </c>
      <c r="AD90" s="74" t="s">
        <v>53</v>
      </c>
      <c r="AE90" s="73" t="s">
        <v>49</v>
      </c>
      <c r="AF90" s="73"/>
      <c r="AG90" s="73"/>
      <c r="AH90" s="797"/>
      <c r="AI90" s="800"/>
      <c r="AJ90" s="73"/>
      <c r="AK90" s="73"/>
      <c r="AL90" s="73"/>
      <c r="AM90" s="803"/>
      <c r="AN90" s="74" t="s">
        <v>265</v>
      </c>
      <c r="AO90" s="152" t="s">
        <v>753</v>
      </c>
      <c r="AP90" s="787"/>
      <c r="AQ90" s="787"/>
      <c r="AR90" s="806"/>
      <c r="AS90" s="787"/>
      <c r="AT90" s="787"/>
      <c r="AU90" s="787"/>
      <c r="AV90" s="787"/>
      <c r="AW90" s="3"/>
      <c r="AX90" s="3"/>
      <c r="AY90" s="3"/>
      <c r="AZ90" s="3"/>
      <c r="BA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row>
    <row r="91" spans="1:119" s="160" customFormat="1" ht="60">
      <c r="A91" s="70" t="s">
        <v>257</v>
      </c>
      <c r="B91" s="70" t="s">
        <v>200</v>
      </c>
      <c r="C91" s="71" t="s">
        <v>362</v>
      </c>
      <c r="D91" s="70" t="s">
        <v>218</v>
      </c>
      <c r="E91" s="70" t="s">
        <v>265</v>
      </c>
      <c r="F91" s="72">
        <v>2024130010135</v>
      </c>
      <c r="G91" s="70" t="s">
        <v>273</v>
      </c>
      <c r="H91" s="70" t="s">
        <v>286</v>
      </c>
      <c r="I91" s="70" t="s">
        <v>416</v>
      </c>
      <c r="J91" s="175">
        <v>10014</v>
      </c>
      <c r="K91" s="210">
        <v>1</v>
      </c>
      <c r="L91" s="74" t="s">
        <v>303</v>
      </c>
      <c r="M91" s="73"/>
      <c r="N91" s="74" t="s">
        <v>805</v>
      </c>
      <c r="O91" s="74">
        <v>15578</v>
      </c>
      <c r="P91" s="211">
        <v>15250</v>
      </c>
      <c r="Q91" s="73">
        <v>264</v>
      </c>
      <c r="R91" s="73"/>
      <c r="S91" s="190">
        <v>45660</v>
      </c>
      <c r="T91" s="190">
        <v>46022</v>
      </c>
      <c r="U91" s="191">
        <f t="shared" si="7"/>
        <v>362</v>
      </c>
      <c r="V91" s="70">
        <v>15250</v>
      </c>
      <c r="W91" s="74" t="s">
        <v>352</v>
      </c>
      <c r="X91" s="73" t="s">
        <v>360</v>
      </c>
      <c r="Y91" s="70" t="s">
        <v>454</v>
      </c>
      <c r="Z91" s="70" t="s">
        <v>455</v>
      </c>
      <c r="AA91" s="75" t="s">
        <v>351</v>
      </c>
      <c r="AB91" s="135" t="s">
        <v>593</v>
      </c>
      <c r="AC91" s="136">
        <v>170000000</v>
      </c>
      <c r="AD91" s="73" t="s">
        <v>55</v>
      </c>
      <c r="AE91" s="73" t="s">
        <v>49</v>
      </c>
      <c r="AF91" s="73"/>
      <c r="AG91" s="73"/>
      <c r="AH91" s="797"/>
      <c r="AI91" s="800"/>
      <c r="AJ91" s="73"/>
      <c r="AK91" s="73"/>
      <c r="AL91" s="73"/>
      <c r="AM91" s="803"/>
      <c r="AN91" s="74" t="s">
        <v>265</v>
      </c>
      <c r="AO91" s="152" t="s">
        <v>753</v>
      </c>
      <c r="AP91" s="787"/>
      <c r="AQ91" s="787"/>
      <c r="AR91" s="806"/>
      <c r="AS91" s="787"/>
      <c r="AT91" s="787"/>
      <c r="AU91" s="787"/>
      <c r="AV91" s="787"/>
      <c r="AW91" s="3"/>
      <c r="AX91" s="3"/>
      <c r="AY91" s="3"/>
      <c r="AZ91" s="3"/>
      <c r="BA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row>
    <row r="92" spans="1:119" s="160" customFormat="1" ht="60">
      <c r="A92" s="70" t="s">
        <v>257</v>
      </c>
      <c r="B92" s="70" t="s">
        <v>200</v>
      </c>
      <c r="C92" s="71" t="s">
        <v>362</v>
      </c>
      <c r="D92" s="70" t="s">
        <v>218</v>
      </c>
      <c r="E92" s="70" t="s">
        <v>265</v>
      </c>
      <c r="F92" s="72">
        <v>2024130010135</v>
      </c>
      <c r="G92" s="70" t="s">
        <v>273</v>
      </c>
      <c r="H92" s="70" t="s">
        <v>327</v>
      </c>
      <c r="I92" s="70" t="s">
        <v>416</v>
      </c>
      <c r="J92" s="175">
        <v>10014</v>
      </c>
      <c r="K92" s="210">
        <v>1</v>
      </c>
      <c r="L92" s="74" t="s">
        <v>303</v>
      </c>
      <c r="M92" s="73"/>
      <c r="N92" s="74" t="s">
        <v>805</v>
      </c>
      <c r="O92" s="74">
        <v>15578</v>
      </c>
      <c r="P92" s="211">
        <v>15250</v>
      </c>
      <c r="Q92" s="73">
        <v>264</v>
      </c>
      <c r="R92" s="73"/>
      <c r="S92" s="190">
        <v>45660</v>
      </c>
      <c r="T92" s="190">
        <v>46022</v>
      </c>
      <c r="U92" s="191">
        <f t="shared" si="7"/>
        <v>362</v>
      </c>
      <c r="V92" s="70">
        <v>15250</v>
      </c>
      <c r="W92" s="74" t="s">
        <v>352</v>
      </c>
      <c r="X92" s="73" t="s">
        <v>360</v>
      </c>
      <c r="Y92" s="70" t="s">
        <v>456</v>
      </c>
      <c r="Z92" s="70" t="s">
        <v>457</v>
      </c>
      <c r="AA92" s="75" t="s">
        <v>351</v>
      </c>
      <c r="AB92" s="135" t="s">
        <v>672</v>
      </c>
      <c r="AC92" s="136">
        <v>540000000</v>
      </c>
      <c r="AD92" s="74" t="s">
        <v>53</v>
      </c>
      <c r="AE92" s="73" t="s">
        <v>49</v>
      </c>
      <c r="AF92" s="73"/>
      <c r="AG92" s="73"/>
      <c r="AH92" s="797"/>
      <c r="AI92" s="800"/>
      <c r="AJ92" s="73"/>
      <c r="AK92" s="73"/>
      <c r="AL92" s="73"/>
      <c r="AM92" s="803"/>
      <c r="AN92" s="74" t="s">
        <v>265</v>
      </c>
      <c r="AO92" s="152" t="s">
        <v>753</v>
      </c>
      <c r="AP92" s="787"/>
      <c r="AQ92" s="787"/>
      <c r="AR92" s="806"/>
      <c r="AS92" s="787"/>
      <c r="AT92" s="787"/>
      <c r="AU92" s="787"/>
      <c r="AV92" s="787"/>
      <c r="AW92" s="3"/>
      <c r="AX92" s="3"/>
      <c r="AY92" s="3"/>
      <c r="AZ92" s="3"/>
      <c r="BA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row>
    <row r="93" spans="1:119" s="160" customFormat="1" ht="96.6">
      <c r="A93" s="70" t="s">
        <v>257</v>
      </c>
      <c r="B93" s="70" t="s">
        <v>200</v>
      </c>
      <c r="C93" s="71" t="s">
        <v>362</v>
      </c>
      <c r="D93" s="70" t="s">
        <v>218</v>
      </c>
      <c r="E93" s="70" t="s">
        <v>265</v>
      </c>
      <c r="F93" s="72">
        <v>2024130010135</v>
      </c>
      <c r="G93" s="70" t="s">
        <v>273</v>
      </c>
      <c r="H93" s="70" t="s">
        <v>327</v>
      </c>
      <c r="I93" s="70" t="s">
        <v>416</v>
      </c>
      <c r="J93" s="175">
        <v>10014</v>
      </c>
      <c r="K93" s="210">
        <v>1</v>
      </c>
      <c r="L93" s="74" t="s">
        <v>301</v>
      </c>
      <c r="M93" s="73"/>
      <c r="N93" s="74" t="s">
        <v>805</v>
      </c>
      <c r="O93" s="74">
        <v>15578</v>
      </c>
      <c r="P93" s="211">
        <v>15250</v>
      </c>
      <c r="Q93" s="73">
        <v>264</v>
      </c>
      <c r="R93" s="73"/>
      <c r="S93" s="190">
        <v>45660</v>
      </c>
      <c r="T93" s="190">
        <v>46022</v>
      </c>
      <c r="U93" s="191">
        <f t="shared" si="7"/>
        <v>362</v>
      </c>
      <c r="V93" s="70">
        <v>15250</v>
      </c>
      <c r="W93" s="74" t="s">
        <v>352</v>
      </c>
      <c r="X93" s="73" t="s">
        <v>360</v>
      </c>
      <c r="Y93" s="70" t="s">
        <v>425</v>
      </c>
      <c r="Z93" s="70" t="s">
        <v>426</v>
      </c>
      <c r="AA93" s="75" t="s">
        <v>351</v>
      </c>
      <c r="AB93" s="135" t="s">
        <v>593</v>
      </c>
      <c r="AC93" s="136">
        <v>180000000</v>
      </c>
      <c r="AD93" s="73" t="s">
        <v>55</v>
      </c>
      <c r="AE93" s="73" t="s">
        <v>49</v>
      </c>
      <c r="AF93" s="73"/>
      <c r="AG93" s="73"/>
      <c r="AH93" s="797"/>
      <c r="AI93" s="800"/>
      <c r="AJ93" s="73"/>
      <c r="AK93" s="73"/>
      <c r="AL93" s="73"/>
      <c r="AM93" s="803"/>
      <c r="AN93" s="74" t="s">
        <v>265</v>
      </c>
      <c r="AO93" s="152" t="s">
        <v>753</v>
      </c>
      <c r="AP93" s="787"/>
      <c r="AQ93" s="787"/>
      <c r="AR93" s="806"/>
      <c r="AS93" s="787"/>
      <c r="AT93" s="787"/>
      <c r="AU93" s="787"/>
      <c r="AV93" s="787"/>
      <c r="AW93" s="3"/>
      <c r="AX93" s="3"/>
      <c r="AY93" s="3"/>
      <c r="AZ93" s="3"/>
      <c r="BA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row>
    <row r="94" spans="1:119" s="160" customFormat="1" ht="96.6">
      <c r="A94" s="70" t="s">
        <v>257</v>
      </c>
      <c r="B94" s="70" t="s">
        <v>200</v>
      </c>
      <c r="C94" s="71" t="s">
        <v>362</v>
      </c>
      <c r="D94" s="70" t="s">
        <v>218</v>
      </c>
      <c r="E94" s="70" t="s">
        <v>265</v>
      </c>
      <c r="F94" s="72">
        <v>2024130010135</v>
      </c>
      <c r="G94" s="70" t="s">
        <v>273</v>
      </c>
      <c r="H94" s="70" t="s">
        <v>327</v>
      </c>
      <c r="I94" s="70" t="s">
        <v>416</v>
      </c>
      <c r="J94" s="175">
        <v>10014</v>
      </c>
      <c r="K94" s="210">
        <v>1</v>
      </c>
      <c r="L94" s="74" t="s">
        <v>301</v>
      </c>
      <c r="M94" s="73"/>
      <c r="N94" s="74" t="s">
        <v>805</v>
      </c>
      <c r="O94" s="74">
        <v>15578</v>
      </c>
      <c r="P94" s="211">
        <v>15250</v>
      </c>
      <c r="Q94" s="73">
        <v>264</v>
      </c>
      <c r="R94" s="73"/>
      <c r="S94" s="190">
        <v>45660</v>
      </c>
      <c r="T94" s="190">
        <v>46022</v>
      </c>
      <c r="U94" s="191">
        <f t="shared" si="7"/>
        <v>362</v>
      </c>
      <c r="V94" s="70">
        <v>15250</v>
      </c>
      <c r="W94" s="74" t="s">
        <v>352</v>
      </c>
      <c r="X94" s="73" t="s">
        <v>360</v>
      </c>
      <c r="Y94" s="70" t="s">
        <v>425</v>
      </c>
      <c r="Z94" s="70" t="s">
        <v>426</v>
      </c>
      <c r="AA94" s="75" t="s">
        <v>351</v>
      </c>
      <c r="AB94" s="135" t="s">
        <v>673</v>
      </c>
      <c r="AC94" s="136">
        <v>1400000000</v>
      </c>
      <c r="AD94" s="74" t="s">
        <v>53</v>
      </c>
      <c r="AE94" s="73" t="s">
        <v>49</v>
      </c>
      <c r="AF94" s="73"/>
      <c r="AG94" s="73"/>
      <c r="AH94" s="797"/>
      <c r="AI94" s="800"/>
      <c r="AJ94" s="73"/>
      <c r="AK94" s="73"/>
      <c r="AL94" s="73"/>
      <c r="AM94" s="803"/>
      <c r="AN94" s="74" t="s">
        <v>265</v>
      </c>
      <c r="AO94" s="152" t="s">
        <v>753</v>
      </c>
      <c r="AP94" s="787"/>
      <c r="AQ94" s="787"/>
      <c r="AR94" s="806"/>
      <c r="AS94" s="787"/>
      <c r="AT94" s="787"/>
      <c r="AU94" s="787"/>
      <c r="AV94" s="787"/>
      <c r="AW94" s="3"/>
      <c r="AX94" s="3"/>
      <c r="AY94" s="3"/>
      <c r="AZ94" s="3"/>
      <c r="BA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row>
    <row r="95" spans="1:119" s="160" customFormat="1" ht="96.6">
      <c r="A95" s="70" t="s">
        <v>257</v>
      </c>
      <c r="B95" s="70" t="s">
        <v>200</v>
      </c>
      <c r="C95" s="71" t="s">
        <v>362</v>
      </c>
      <c r="D95" s="70" t="s">
        <v>218</v>
      </c>
      <c r="E95" s="70" t="s">
        <v>265</v>
      </c>
      <c r="F95" s="72">
        <v>2024130010135</v>
      </c>
      <c r="G95" s="70" t="s">
        <v>273</v>
      </c>
      <c r="H95" s="70" t="s">
        <v>327</v>
      </c>
      <c r="I95" s="70" t="s">
        <v>416</v>
      </c>
      <c r="J95" s="175">
        <v>10014</v>
      </c>
      <c r="K95" s="210">
        <v>1</v>
      </c>
      <c r="L95" s="74" t="s">
        <v>328</v>
      </c>
      <c r="M95" s="73"/>
      <c r="N95" s="74" t="s">
        <v>806</v>
      </c>
      <c r="O95" s="74">
        <v>15578</v>
      </c>
      <c r="P95" s="211">
        <v>15250</v>
      </c>
      <c r="Q95" s="73">
        <v>264</v>
      </c>
      <c r="R95" s="73"/>
      <c r="S95" s="190">
        <v>45660</v>
      </c>
      <c r="T95" s="190">
        <v>46022</v>
      </c>
      <c r="U95" s="191">
        <f t="shared" si="7"/>
        <v>362</v>
      </c>
      <c r="V95" s="70">
        <v>15250</v>
      </c>
      <c r="W95" s="74" t="s">
        <v>352</v>
      </c>
      <c r="X95" s="73" t="s">
        <v>360</v>
      </c>
      <c r="Y95" s="70" t="s">
        <v>425</v>
      </c>
      <c r="Z95" s="70" t="s">
        <v>426</v>
      </c>
      <c r="AA95" s="75" t="s">
        <v>351</v>
      </c>
      <c r="AB95" s="135" t="s">
        <v>593</v>
      </c>
      <c r="AC95" s="136">
        <v>17092532</v>
      </c>
      <c r="AD95" s="73" t="s">
        <v>55</v>
      </c>
      <c r="AE95" s="73" t="s">
        <v>49</v>
      </c>
      <c r="AF95" s="73"/>
      <c r="AG95" s="73"/>
      <c r="AH95" s="797"/>
      <c r="AI95" s="800"/>
      <c r="AJ95" s="73"/>
      <c r="AK95" s="73"/>
      <c r="AL95" s="73"/>
      <c r="AM95" s="803"/>
      <c r="AN95" s="74" t="s">
        <v>265</v>
      </c>
      <c r="AO95" s="152" t="s">
        <v>753</v>
      </c>
      <c r="AP95" s="787"/>
      <c r="AQ95" s="787"/>
      <c r="AR95" s="806"/>
      <c r="AS95" s="787"/>
      <c r="AT95" s="787"/>
      <c r="AU95" s="787"/>
      <c r="AV95" s="787"/>
      <c r="AW95" s="3"/>
      <c r="AX95" s="3"/>
      <c r="AY95" s="3"/>
      <c r="AZ95" s="3"/>
      <c r="BA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row>
    <row r="96" spans="1:119" s="160" customFormat="1" ht="96.6">
      <c r="A96" s="70" t="s">
        <v>257</v>
      </c>
      <c r="B96" s="70" t="s">
        <v>200</v>
      </c>
      <c r="C96" s="71" t="s">
        <v>362</v>
      </c>
      <c r="D96" s="70" t="s">
        <v>218</v>
      </c>
      <c r="E96" s="70" t="s">
        <v>265</v>
      </c>
      <c r="F96" s="72">
        <v>2024130010135</v>
      </c>
      <c r="G96" s="70" t="s">
        <v>273</v>
      </c>
      <c r="H96" s="70" t="s">
        <v>327</v>
      </c>
      <c r="I96" s="70" t="s">
        <v>416</v>
      </c>
      <c r="J96" s="175">
        <v>10014</v>
      </c>
      <c r="K96" s="210">
        <v>1</v>
      </c>
      <c r="L96" s="74" t="s">
        <v>328</v>
      </c>
      <c r="M96" s="73"/>
      <c r="N96" s="74" t="s">
        <v>806</v>
      </c>
      <c r="O96" s="74">
        <v>15578</v>
      </c>
      <c r="P96" s="211">
        <v>15250</v>
      </c>
      <c r="Q96" s="73">
        <v>264</v>
      </c>
      <c r="R96" s="73"/>
      <c r="S96" s="190">
        <v>45660</v>
      </c>
      <c r="T96" s="190">
        <v>46022</v>
      </c>
      <c r="U96" s="191">
        <f t="shared" si="7"/>
        <v>362</v>
      </c>
      <c r="V96" s="70">
        <v>15250</v>
      </c>
      <c r="W96" s="74" t="s">
        <v>352</v>
      </c>
      <c r="X96" s="73" t="s">
        <v>360</v>
      </c>
      <c r="Y96" s="70" t="s">
        <v>425</v>
      </c>
      <c r="Z96" s="70" t="s">
        <v>426</v>
      </c>
      <c r="AA96" s="75" t="s">
        <v>351</v>
      </c>
      <c r="AB96" s="135" t="s">
        <v>667</v>
      </c>
      <c r="AC96" s="136">
        <v>400000000</v>
      </c>
      <c r="AD96" s="74" t="s">
        <v>53</v>
      </c>
      <c r="AE96" s="73" t="s">
        <v>49</v>
      </c>
      <c r="AF96" s="73"/>
      <c r="AG96" s="73"/>
      <c r="AH96" s="797"/>
      <c r="AI96" s="800"/>
      <c r="AJ96" s="73"/>
      <c r="AK96" s="73"/>
      <c r="AL96" s="73"/>
      <c r="AM96" s="803"/>
      <c r="AN96" s="74" t="s">
        <v>265</v>
      </c>
      <c r="AO96" s="152" t="s">
        <v>753</v>
      </c>
      <c r="AP96" s="787"/>
      <c r="AQ96" s="787"/>
      <c r="AR96" s="806"/>
      <c r="AS96" s="787"/>
      <c r="AT96" s="787"/>
      <c r="AU96" s="787"/>
      <c r="AV96" s="787"/>
      <c r="AW96" s="3"/>
      <c r="AX96" s="3"/>
      <c r="AY96" s="3"/>
      <c r="AZ96" s="3"/>
      <c r="BA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row>
    <row r="97" spans="1:119" s="160" customFormat="1" ht="96.6">
      <c r="A97" s="70" t="s">
        <v>257</v>
      </c>
      <c r="B97" s="70" t="s">
        <v>200</v>
      </c>
      <c r="C97" s="71" t="s">
        <v>362</v>
      </c>
      <c r="D97" s="70" t="s">
        <v>218</v>
      </c>
      <c r="E97" s="70" t="s">
        <v>265</v>
      </c>
      <c r="F97" s="72">
        <v>2024130010135</v>
      </c>
      <c r="G97" s="70" t="s">
        <v>273</v>
      </c>
      <c r="H97" s="70" t="s">
        <v>327</v>
      </c>
      <c r="I97" s="70" t="s">
        <v>416</v>
      </c>
      <c r="J97" s="175">
        <v>10014</v>
      </c>
      <c r="K97" s="210">
        <v>1</v>
      </c>
      <c r="L97" s="74" t="s">
        <v>296</v>
      </c>
      <c r="M97" s="73"/>
      <c r="N97" s="74" t="s">
        <v>663</v>
      </c>
      <c r="O97" s="74">
        <v>15578</v>
      </c>
      <c r="P97" s="211">
        <f>6*4</f>
        <v>24</v>
      </c>
      <c r="Q97" s="73">
        <v>264</v>
      </c>
      <c r="R97" s="73"/>
      <c r="S97" s="190">
        <v>45660</v>
      </c>
      <c r="T97" s="190">
        <v>46022</v>
      </c>
      <c r="U97" s="191">
        <f t="shared" si="7"/>
        <v>362</v>
      </c>
      <c r="V97" s="70">
        <v>15250</v>
      </c>
      <c r="W97" s="74" t="s">
        <v>352</v>
      </c>
      <c r="X97" s="73" t="s">
        <v>360</v>
      </c>
      <c r="Y97" s="70" t="s">
        <v>425</v>
      </c>
      <c r="Z97" s="70" t="s">
        <v>426</v>
      </c>
      <c r="AA97" s="75" t="s">
        <v>351</v>
      </c>
      <c r="AB97" s="135" t="s">
        <v>666</v>
      </c>
      <c r="AC97" s="136">
        <v>100000000</v>
      </c>
      <c r="AD97" s="74" t="s">
        <v>52</v>
      </c>
      <c r="AE97" s="73" t="s">
        <v>49</v>
      </c>
      <c r="AF97" s="73"/>
      <c r="AG97" s="73"/>
      <c r="AH97" s="798"/>
      <c r="AI97" s="801"/>
      <c r="AJ97" s="73"/>
      <c r="AK97" s="73"/>
      <c r="AL97" s="73"/>
      <c r="AM97" s="804"/>
      <c r="AN97" s="74" t="s">
        <v>265</v>
      </c>
      <c r="AO97" s="152" t="s">
        <v>753</v>
      </c>
      <c r="AP97" s="788"/>
      <c r="AQ97" s="788"/>
      <c r="AR97" s="807"/>
      <c r="AS97" s="788"/>
      <c r="AT97" s="788"/>
      <c r="AU97" s="788"/>
      <c r="AV97" s="788"/>
      <c r="AW97" s="3"/>
      <c r="AX97" s="3"/>
      <c r="AY97" s="3"/>
      <c r="AZ97" s="3"/>
      <c r="BA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row>
    <row r="98" spans="1:119" s="160" customFormat="1" ht="72" customHeight="1">
      <c r="A98" s="70"/>
      <c r="B98" s="70"/>
      <c r="C98" s="71"/>
      <c r="D98" s="70"/>
      <c r="E98" s="722" t="s">
        <v>772</v>
      </c>
      <c r="F98" s="723"/>
      <c r="G98" s="723"/>
      <c r="H98" s="723"/>
      <c r="I98" s="723"/>
      <c r="J98" s="723"/>
      <c r="K98" s="723"/>
      <c r="L98" s="723"/>
      <c r="M98" s="723"/>
      <c r="N98" s="723"/>
      <c r="O98" s="723"/>
      <c r="P98" s="723"/>
      <c r="Q98" s="724"/>
      <c r="R98" s="73"/>
      <c r="S98" s="190"/>
      <c r="T98" s="190"/>
      <c r="U98" s="191"/>
      <c r="V98" s="70"/>
      <c r="W98" s="74"/>
      <c r="X98" s="73"/>
      <c r="Y98" s="70"/>
      <c r="Z98" s="70"/>
      <c r="AA98" s="75"/>
      <c r="AB98" s="135"/>
      <c r="AC98" s="136"/>
      <c r="AD98" s="74"/>
      <c r="AE98" s="73"/>
      <c r="AF98" s="73"/>
      <c r="AG98" s="73"/>
      <c r="AH98" s="228"/>
      <c r="AI98" s="229"/>
      <c r="AJ98" s="73"/>
      <c r="AK98" s="73"/>
      <c r="AL98" s="73"/>
      <c r="AM98" s="227"/>
      <c r="AN98" s="74"/>
      <c r="AO98" s="257" t="s">
        <v>767</v>
      </c>
      <c r="AP98" s="248">
        <f>SUM(AP86)</f>
        <v>4193305880.3099999</v>
      </c>
      <c r="AQ98" s="248">
        <f t="shared" ref="AQ98:AT98" si="10">SUM(AQ86)</f>
        <v>2301233000</v>
      </c>
      <c r="AR98" s="277">
        <f t="shared" si="10"/>
        <v>0.54879999999999995</v>
      </c>
      <c r="AS98" s="248">
        <f t="shared" si="10"/>
        <v>0</v>
      </c>
      <c r="AT98" s="248">
        <f t="shared" si="10"/>
        <v>0</v>
      </c>
      <c r="AU98" s="278">
        <v>0</v>
      </c>
      <c r="AV98" s="278">
        <v>0</v>
      </c>
      <c r="AW98" s="3"/>
      <c r="AX98" s="3"/>
      <c r="AY98" s="3"/>
      <c r="AZ98" s="3"/>
      <c r="BA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row>
    <row r="99" spans="1:119" s="161" customFormat="1" ht="235.8">
      <c r="A99" s="76" t="s">
        <v>259</v>
      </c>
      <c r="B99" s="76" t="s">
        <v>201</v>
      </c>
      <c r="C99" s="77" t="s">
        <v>363</v>
      </c>
      <c r="D99" s="76" t="s">
        <v>219</v>
      </c>
      <c r="E99" s="82" t="s">
        <v>266</v>
      </c>
      <c r="F99" s="78">
        <v>2024130010129</v>
      </c>
      <c r="G99" s="76" t="s">
        <v>274</v>
      </c>
      <c r="H99" s="76" t="s">
        <v>305</v>
      </c>
      <c r="I99" s="76" t="s">
        <v>417</v>
      </c>
      <c r="J99" s="187">
        <v>4292</v>
      </c>
      <c r="K99" s="210">
        <v>0.55000000000000004</v>
      </c>
      <c r="L99" s="79" t="s">
        <v>306</v>
      </c>
      <c r="M99" s="79"/>
      <c r="N99" s="79" t="s">
        <v>807</v>
      </c>
      <c r="O99" s="79">
        <v>57272</v>
      </c>
      <c r="P99" s="211">
        <v>47300</v>
      </c>
      <c r="Q99" s="80">
        <v>4292</v>
      </c>
      <c r="R99" s="80"/>
      <c r="S99" s="190">
        <v>45660</v>
      </c>
      <c r="T99" s="190">
        <v>46022</v>
      </c>
      <c r="U99" s="191">
        <f t="shared" si="7"/>
        <v>362</v>
      </c>
      <c r="V99" s="187">
        <v>47300</v>
      </c>
      <c r="W99" s="79" t="s">
        <v>352</v>
      </c>
      <c r="X99" s="80" t="s">
        <v>368</v>
      </c>
      <c r="Y99" s="76" t="s">
        <v>427</v>
      </c>
      <c r="Z99" s="76" t="s">
        <v>428</v>
      </c>
      <c r="AA99" s="81" t="s">
        <v>351</v>
      </c>
      <c r="AB99" s="110" t="s">
        <v>596</v>
      </c>
      <c r="AC99" s="82">
        <v>49140000</v>
      </c>
      <c r="AD99" s="80" t="s">
        <v>55</v>
      </c>
      <c r="AE99" s="80" t="s">
        <v>49</v>
      </c>
      <c r="AF99" s="80"/>
      <c r="AG99" s="80"/>
      <c r="AH99" s="790">
        <v>2103471540</v>
      </c>
      <c r="AI99" s="792"/>
      <c r="AJ99" s="80"/>
      <c r="AK99" s="80"/>
      <c r="AL99" s="80"/>
      <c r="AM99" s="794" t="s">
        <v>650</v>
      </c>
      <c r="AN99" s="79" t="s">
        <v>266</v>
      </c>
      <c r="AO99" s="79" t="s">
        <v>744</v>
      </c>
      <c r="AP99" s="783">
        <v>2572740622.8499999</v>
      </c>
      <c r="AQ99" s="783">
        <v>489232000</v>
      </c>
      <c r="AR99" s="781">
        <v>0.19020000000000001</v>
      </c>
      <c r="AS99" s="783">
        <v>0</v>
      </c>
      <c r="AT99" s="783">
        <v>0</v>
      </c>
      <c r="AU99" s="785">
        <v>0</v>
      </c>
      <c r="AV99" s="785">
        <v>0</v>
      </c>
      <c r="AW99" s="3"/>
      <c r="AX99" s="3"/>
      <c r="AY99" s="3"/>
      <c r="AZ99" s="3"/>
      <c r="BA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row>
    <row r="100" spans="1:119" s="161" customFormat="1" ht="235.8">
      <c r="A100" s="76" t="s">
        <v>259</v>
      </c>
      <c r="B100" s="76" t="s">
        <v>201</v>
      </c>
      <c r="C100" s="77" t="s">
        <v>363</v>
      </c>
      <c r="D100" s="76" t="s">
        <v>219</v>
      </c>
      <c r="E100" s="82" t="s">
        <v>266</v>
      </c>
      <c r="F100" s="78">
        <v>2024130010129</v>
      </c>
      <c r="G100" s="76" t="s">
        <v>274</v>
      </c>
      <c r="H100" s="76" t="s">
        <v>305</v>
      </c>
      <c r="I100" s="76" t="s">
        <v>417</v>
      </c>
      <c r="J100" s="187">
        <v>4292</v>
      </c>
      <c r="K100" s="210">
        <v>0.55000000000000004</v>
      </c>
      <c r="L100" s="79" t="s">
        <v>306</v>
      </c>
      <c r="M100" s="79"/>
      <c r="N100" s="79" t="s">
        <v>807</v>
      </c>
      <c r="O100" s="79">
        <v>57272</v>
      </c>
      <c r="P100" s="211">
        <v>47300</v>
      </c>
      <c r="Q100" s="80">
        <v>4292</v>
      </c>
      <c r="R100" s="80"/>
      <c r="S100" s="190">
        <v>45660</v>
      </c>
      <c r="T100" s="190">
        <v>46022</v>
      </c>
      <c r="U100" s="191">
        <f t="shared" si="7"/>
        <v>362</v>
      </c>
      <c r="V100" s="187">
        <v>47300</v>
      </c>
      <c r="W100" s="79" t="s">
        <v>352</v>
      </c>
      <c r="X100" s="80" t="s">
        <v>368</v>
      </c>
      <c r="Y100" s="76" t="s">
        <v>429</v>
      </c>
      <c r="Z100" s="76" t="s">
        <v>430</v>
      </c>
      <c r="AA100" s="81" t="s">
        <v>351</v>
      </c>
      <c r="AB100" s="110" t="s">
        <v>697</v>
      </c>
      <c r="AC100" s="82">
        <v>33509575</v>
      </c>
      <c r="AD100" s="79" t="s">
        <v>56</v>
      </c>
      <c r="AE100" s="80" t="s">
        <v>49</v>
      </c>
      <c r="AF100" s="80"/>
      <c r="AG100" s="80"/>
      <c r="AH100" s="791"/>
      <c r="AI100" s="793"/>
      <c r="AJ100" s="80"/>
      <c r="AK100" s="80"/>
      <c r="AL100" s="80"/>
      <c r="AM100" s="795"/>
      <c r="AN100" s="79" t="s">
        <v>266</v>
      </c>
      <c r="AO100" s="79" t="s">
        <v>744</v>
      </c>
      <c r="AP100" s="784"/>
      <c r="AQ100" s="784"/>
      <c r="AR100" s="782"/>
      <c r="AS100" s="784"/>
      <c r="AT100" s="784"/>
      <c r="AU100" s="784"/>
      <c r="AV100" s="784"/>
      <c r="AW100" s="3"/>
      <c r="AX100" s="3"/>
      <c r="AY100" s="3"/>
      <c r="AZ100" s="3"/>
      <c r="BA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row>
    <row r="101" spans="1:119" s="161" customFormat="1" ht="235.8">
      <c r="A101" s="76" t="s">
        <v>259</v>
      </c>
      <c r="B101" s="76" t="s">
        <v>201</v>
      </c>
      <c r="C101" s="77" t="s">
        <v>363</v>
      </c>
      <c r="D101" s="76" t="s">
        <v>219</v>
      </c>
      <c r="E101" s="82" t="s">
        <v>266</v>
      </c>
      <c r="F101" s="78">
        <v>2024130010129</v>
      </c>
      <c r="G101" s="76" t="s">
        <v>274</v>
      </c>
      <c r="H101" s="110" t="s">
        <v>305</v>
      </c>
      <c r="I101" s="76" t="s">
        <v>417</v>
      </c>
      <c r="J101" s="187">
        <v>4292</v>
      </c>
      <c r="K101" s="210">
        <v>0.55000000000000004</v>
      </c>
      <c r="L101" s="79" t="s">
        <v>307</v>
      </c>
      <c r="M101" s="79"/>
      <c r="N101" s="79" t="s">
        <v>663</v>
      </c>
      <c r="O101" s="79">
        <v>57272</v>
      </c>
      <c r="P101" s="211">
        <v>20</v>
      </c>
      <c r="Q101" s="80">
        <v>4292</v>
      </c>
      <c r="R101" s="80"/>
      <c r="S101" s="190">
        <v>45660</v>
      </c>
      <c r="T101" s="190">
        <v>46022</v>
      </c>
      <c r="U101" s="191">
        <f t="shared" si="7"/>
        <v>362</v>
      </c>
      <c r="V101" s="187">
        <v>47300</v>
      </c>
      <c r="W101" s="79" t="s">
        <v>352</v>
      </c>
      <c r="X101" s="80" t="s">
        <v>368</v>
      </c>
      <c r="Y101" s="76" t="s">
        <v>447</v>
      </c>
      <c r="Z101" s="76" t="s">
        <v>436</v>
      </c>
      <c r="AA101" s="81" t="s">
        <v>351</v>
      </c>
      <c r="AB101" s="110" t="s">
        <v>596</v>
      </c>
      <c r="AC101" s="82">
        <v>51912000</v>
      </c>
      <c r="AD101" s="80" t="s">
        <v>55</v>
      </c>
      <c r="AE101" s="80" t="s">
        <v>49</v>
      </c>
      <c r="AF101" s="80"/>
      <c r="AG101" s="80"/>
      <c r="AH101" s="791"/>
      <c r="AI101" s="793"/>
      <c r="AJ101" s="80"/>
      <c r="AK101" s="80"/>
      <c r="AL101" s="80"/>
      <c r="AM101" s="795"/>
      <c r="AN101" s="79" t="s">
        <v>266</v>
      </c>
      <c r="AO101" s="79" t="s">
        <v>744</v>
      </c>
      <c r="AP101" s="784"/>
      <c r="AQ101" s="784"/>
      <c r="AR101" s="782"/>
      <c r="AS101" s="784"/>
      <c r="AT101" s="784"/>
      <c r="AU101" s="784"/>
      <c r="AV101" s="784"/>
      <c r="AW101" s="3"/>
      <c r="AX101" s="3"/>
      <c r="AY101" s="3"/>
      <c r="AZ101" s="3"/>
      <c r="BA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row>
    <row r="102" spans="1:119" s="161" customFormat="1" ht="235.8">
      <c r="A102" s="76" t="s">
        <v>259</v>
      </c>
      <c r="B102" s="76" t="s">
        <v>201</v>
      </c>
      <c r="C102" s="77" t="s">
        <v>363</v>
      </c>
      <c r="D102" s="76" t="s">
        <v>219</v>
      </c>
      <c r="E102" s="82" t="s">
        <v>266</v>
      </c>
      <c r="F102" s="78">
        <v>2024130010129</v>
      </c>
      <c r="G102" s="76" t="s">
        <v>274</v>
      </c>
      <c r="H102" s="76" t="s">
        <v>305</v>
      </c>
      <c r="I102" s="76" t="s">
        <v>417</v>
      </c>
      <c r="J102" s="187">
        <v>4292</v>
      </c>
      <c r="K102" s="210">
        <v>0.55000000000000004</v>
      </c>
      <c r="L102" s="79" t="s">
        <v>307</v>
      </c>
      <c r="M102" s="79"/>
      <c r="N102" s="79" t="s">
        <v>663</v>
      </c>
      <c r="O102" s="79">
        <v>57272</v>
      </c>
      <c r="P102" s="211">
        <v>20</v>
      </c>
      <c r="Q102" s="80">
        <v>4292</v>
      </c>
      <c r="R102" s="80"/>
      <c r="S102" s="190">
        <v>45660</v>
      </c>
      <c r="T102" s="190">
        <v>46022</v>
      </c>
      <c r="U102" s="191">
        <f t="shared" si="7"/>
        <v>362</v>
      </c>
      <c r="V102" s="187">
        <v>47300</v>
      </c>
      <c r="W102" s="79" t="s">
        <v>352</v>
      </c>
      <c r="X102" s="80" t="s">
        <v>368</v>
      </c>
      <c r="Y102" s="76" t="s">
        <v>429</v>
      </c>
      <c r="Z102" s="76" t="s">
        <v>430</v>
      </c>
      <c r="AA102" s="81" t="s">
        <v>351</v>
      </c>
      <c r="AB102" s="110" t="s">
        <v>666</v>
      </c>
      <c r="AC102" s="82">
        <v>100000000</v>
      </c>
      <c r="AD102" s="79" t="s">
        <v>52</v>
      </c>
      <c r="AE102" s="80" t="s">
        <v>49</v>
      </c>
      <c r="AF102" s="80"/>
      <c r="AG102" s="80"/>
      <c r="AH102" s="791"/>
      <c r="AI102" s="793"/>
      <c r="AJ102" s="80"/>
      <c r="AK102" s="80"/>
      <c r="AL102" s="80"/>
      <c r="AM102" s="795"/>
      <c r="AN102" s="79" t="s">
        <v>266</v>
      </c>
      <c r="AO102" s="79" t="s">
        <v>744</v>
      </c>
      <c r="AP102" s="784"/>
      <c r="AQ102" s="784"/>
      <c r="AR102" s="782"/>
      <c r="AS102" s="784"/>
      <c r="AT102" s="784"/>
      <c r="AU102" s="784"/>
      <c r="AV102" s="784"/>
      <c r="AW102" s="3"/>
      <c r="AX102" s="3"/>
      <c r="AY102" s="3"/>
      <c r="AZ102" s="3"/>
      <c r="BA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row>
    <row r="103" spans="1:119" s="161" customFormat="1" ht="235.8">
      <c r="A103" s="76" t="s">
        <v>259</v>
      </c>
      <c r="B103" s="76" t="s">
        <v>201</v>
      </c>
      <c r="C103" s="77" t="s">
        <v>363</v>
      </c>
      <c r="D103" s="76" t="s">
        <v>219</v>
      </c>
      <c r="E103" s="82" t="s">
        <v>266</v>
      </c>
      <c r="F103" s="78">
        <v>2024130010129</v>
      </c>
      <c r="G103" s="76" t="s">
        <v>274</v>
      </c>
      <c r="H103" s="76" t="s">
        <v>287</v>
      </c>
      <c r="I103" s="76" t="s">
        <v>417</v>
      </c>
      <c r="J103" s="187">
        <v>4292</v>
      </c>
      <c r="K103" s="210">
        <v>0.55000000000000004</v>
      </c>
      <c r="L103" s="79" t="s">
        <v>312</v>
      </c>
      <c r="M103" s="79"/>
      <c r="N103" s="79" t="s">
        <v>808</v>
      </c>
      <c r="O103" s="79">
        <v>57272</v>
      </c>
      <c r="P103" s="211">
        <v>47300</v>
      </c>
      <c r="Q103" s="80">
        <v>4292</v>
      </c>
      <c r="R103" s="80"/>
      <c r="S103" s="190">
        <v>45660</v>
      </c>
      <c r="T103" s="190">
        <v>46022</v>
      </c>
      <c r="U103" s="191">
        <f t="shared" si="7"/>
        <v>362</v>
      </c>
      <c r="V103" s="187">
        <v>47300</v>
      </c>
      <c r="W103" s="79" t="s">
        <v>352</v>
      </c>
      <c r="X103" s="80" t="s">
        <v>368</v>
      </c>
      <c r="Y103" s="76" t="s">
        <v>431</v>
      </c>
      <c r="Z103" s="76" t="s">
        <v>432</v>
      </c>
      <c r="AA103" s="81" t="s">
        <v>351</v>
      </c>
      <c r="AB103" s="110" t="s">
        <v>596</v>
      </c>
      <c r="AC103" s="82">
        <v>316512000</v>
      </c>
      <c r="AD103" s="80"/>
      <c r="AE103" s="110" t="s">
        <v>681</v>
      </c>
      <c r="AF103" s="80"/>
      <c r="AG103" s="80"/>
      <c r="AH103" s="791"/>
      <c r="AI103" s="793"/>
      <c r="AJ103" s="80"/>
      <c r="AK103" s="80"/>
      <c r="AL103" s="80"/>
      <c r="AM103" s="795"/>
      <c r="AN103" s="79" t="s">
        <v>266</v>
      </c>
      <c r="AO103" s="79" t="s">
        <v>744</v>
      </c>
      <c r="AP103" s="784"/>
      <c r="AQ103" s="784"/>
      <c r="AR103" s="782"/>
      <c r="AS103" s="784"/>
      <c r="AT103" s="784"/>
      <c r="AU103" s="784"/>
      <c r="AV103" s="784"/>
      <c r="AW103" s="3"/>
      <c r="AX103" s="3"/>
      <c r="AY103" s="3"/>
      <c r="AZ103" s="3"/>
      <c r="BA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row>
    <row r="104" spans="1:119" s="161" customFormat="1" ht="235.8">
      <c r="A104" s="76" t="s">
        <v>259</v>
      </c>
      <c r="B104" s="76" t="s">
        <v>201</v>
      </c>
      <c r="C104" s="77" t="s">
        <v>363</v>
      </c>
      <c r="D104" s="76" t="s">
        <v>219</v>
      </c>
      <c r="E104" s="82" t="s">
        <v>266</v>
      </c>
      <c r="F104" s="78">
        <v>2024130010129</v>
      </c>
      <c r="G104" s="76" t="s">
        <v>274</v>
      </c>
      <c r="H104" s="76" t="s">
        <v>287</v>
      </c>
      <c r="I104" s="76" t="s">
        <v>417</v>
      </c>
      <c r="J104" s="187">
        <v>4292</v>
      </c>
      <c r="K104" s="210">
        <v>0.55000000000000004</v>
      </c>
      <c r="L104" s="79" t="s">
        <v>312</v>
      </c>
      <c r="M104" s="79"/>
      <c r="N104" s="79" t="s">
        <v>809</v>
      </c>
      <c r="O104" s="79">
        <v>57272</v>
      </c>
      <c r="P104" s="211">
        <v>47300</v>
      </c>
      <c r="Q104" s="80">
        <v>4292</v>
      </c>
      <c r="R104" s="80"/>
      <c r="S104" s="190">
        <v>45660</v>
      </c>
      <c r="T104" s="190">
        <v>46022</v>
      </c>
      <c r="U104" s="191">
        <f t="shared" si="7"/>
        <v>362</v>
      </c>
      <c r="V104" s="187">
        <v>47300</v>
      </c>
      <c r="W104" s="79" t="s">
        <v>352</v>
      </c>
      <c r="X104" s="80" t="s">
        <v>368</v>
      </c>
      <c r="Y104" s="76" t="s">
        <v>431</v>
      </c>
      <c r="Z104" s="76" t="s">
        <v>432</v>
      </c>
      <c r="AA104" s="81" t="s">
        <v>351</v>
      </c>
      <c r="AB104" s="110" t="s">
        <v>697</v>
      </c>
      <c r="AC104" s="82">
        <v>97000000</v>
      </c>
      <c r="AD104" s="80"/>
      <c r="AE104" s="110" t="s">
        <v>681</v>
      </c>
      <c r="AF104" s="80"/>
      <c r="AG104" s="80"/>
      <c r="AH104" s="791"/>
      <c r="AI104" s="793"/>
      <c r="AJ104" s="80"/>
      <c r="AK104" s="80"/>
      <c r="AL104" s="80"/>
      <c r="AM104" s="795"/>
      <c r="AN104" s="79" t="s">
        <v>266</v>
      </c>
      <c r="AO104" s="79" t="s">
        <v>744</v>
      </c>
      <c r="AP104" s="784"/>
      <c r="AQ104" s="784"/>
      <c r="AR104" s="782"/>
      <c r="AS104" s="784"/>
      <c r="AT104" s="784"/>
      <c r="AU104" s="784"/>
      <c r="AV104" s="784"/>
      <c r="AW104" s="3"/>
      <c r="AX104" s="3"/>
      <c r="AY104" s="3"/>
      <c r="AZ104" s="3"/>
      <c r="BA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row>
    <row r="105" spans="1:119" s="161" customFormat="1" ht="235.8">
      <c r="A105" s="76" t="s">
        <v>259</v>
      </c>
      <c r="B105" s="76" t="s">
        <v>201</v>
      </c>
      <c r="C105" s="77" t="s">
        <v>363</v>
      </c>
      <c r="D105" s="76" t="s">
        <v>219</v>
      </c>
      <c r="E105" s="82" t="s">
        <v>266</v>
      </c>
      <c r="F105" s="78">
        <v>2024130010129</v>
      </c>
      <c r="G105" s="76" t="s">
        <v>274</v>
      </c>
      <c r="H105" s="76" t="s">
        <v>287</v>
      </c>
      <c r="I105" s="76" t="s">
        <v>417</v>
      </c>
      <c r="J105" s="187">
        <v>4292</v>
      </c>
      <c r="K105" s="210">
        <v>0.55000000000000004</v>
      </c>
      <c r="L105" s="79" t="s">
        <v>309</v>
      </c>
      <c r="M105" s="79"/>
      <c r="N105" s="79" t="s">
        <v>809</v>
      </c>
      <c r="O105" s="79">
        <v>57272</v>
      </c>
      <c r="P105" s="211">
        <v>47300</v>
      </c>
      <c r="Q105" s="80">
        <v>4292</v>
      </c>
      <c r="R105" s="80"/>
      <c r="S105" s="190">
        <v>45660</v>
      </c>
      <c r="T105" s="190">
        <v>46022</v>
      </c>
      <c r="U105" s="191">
        <f t="shared" si="7"/>
        <v>362</v>
      </c>
      <c r="V105" s="187">
        <v>47300</v>
      </c>
      <c r="W105" s="79" t="s">
        <v>352</v>
      </c>
      <c r="X105" s="80" t="s">
        <v>368</v>
      </c>
      <c r="Y105" s="76" t="s">
        <v>431</v>
      </c>
      <c r="Z105" s="76" t="s">
        <v>432</v>
      </c>
      <c r="AA105" s="81" t="s">
        <v>351</v>
      </c>
      <c r="AB105" s="110" t="s">
        <v>596</v>
      </c>
      <c r="AC105" s="82">
        <v>50400000</v>
      </c>
      <c r="AD105" s="80"/>
      <c r="AE105" s="80" t="s">
        <v>49</v>
      </c>
      <c r="AF105" s="80"/>
      <c r="AG105" s="80"/>
      <c r="AH105" s="791"/>
      <c r="AI105" s="793"/>
      <c r="AJ105" s="80"/>
      <c r="AK105" s="80"/>
      <c r="AL105" s="80"/>
      <c r="AM105" s="795"/>
      <c r="AN105" s="79" t="s">
        <v>266</v>
      </c>
      <c r="AO105" s="79" t="s">
        <v>744</v>
      </c>
      <c r="AP105" s="784"/>
      <c r="AQ105" s="784"/>
      <c r="AR105" s="782"/>
      <c r="AS105" s="784"/>
      <c r="AT105" s="784"/>
      <c r="AU105" s="784"/>
      <c r="AV105" s="784"/>
      <c r="AW105" s="3"/>
      <c r="AX105" s="3"/>
      <c r="AY105" s="3"/>
      <c r="AZ105" s="3"/>
      <c r="BA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row>
    <row r="106" spans="1:119" s="161" customFormat="1" ht="235.8">
      <c r="A106" s="76" t="s">
        <v>259</v>
      </c>
      <c r="B106" s="76" t="s">
        <v>201</v>
      </c>
      <c r="C106" s="77" t="s">
        <v>363</v>
      </c>
      <c r="D106" s="76" t="s">
        <v>219</v>
      </c>
      <c r="E106" s="82" t="s">
        <v>266</v>
      </c>
      <c r="F106" s="78">
        <v>2024130010129</v>
      </c>
      <c r="G106" s="76" t="s">
        <v>274</v>
      </c>
      <c r="H106" s="76" t="s">
        <v>287</v>
      </c>
      <c r="I106" s="76" t="s">
        <v>417</v>
      </c>
      <c r="J106" s="187">
        <v>4292</v>
      </c>
      <c r="K106" s="210">
        <v>0.55000000000000004</v>
      </c>
      <c r="L106" s="79" t="s">
        <v>308</v>
      </c>
      <c r="M106" s="79"/>
      <c r="N106" s="79" t="s">
        <v>809</v>
      </c>
      <c r="O106" s="79">
        <v>57272</v>
      </c>
      <c r="P106" s="211">
        <v>47300</v>
      </c>
      <c r="Q106" s="80"/>
      <c r="R106" s="80"/>
      <c r="S106" s="190">
        <v>45660</v>
      </c>
      <c r="T106" s="190">
        <v>46022</v>
      </c>
      <c r="U106" s="191">
        <f t="shared" si="7"/>
        <v>362</v>
      </c>
      <c r="V106" s="187">
        <v>47300</v>
      </c>
      <c r="W106" s="79" t="s">
        <v>352</v>
      </c>
      <c r="X106" s="80" t="s">
        <v>368</v>
      </c>
      <c r="Y106" s="76" t="s">
        <v>431</v>
      </c>
      <c r="Z106" s="76" t="s">
        <v>432</v>
      </c>
      <c r="AA106" s="81" t="s">
        <v>351</v>
      </c>
      <c r="AB106" s="110" t="s">
        <v>596</v>
      </c>
      <c r="AC106" s="82">
        <v>90720000</v>
      </c>
      <c r="AD106" s="80"/>
      <c r="AE106" s="80" t="s">
        <v>49</v>
      </c>
      <c r="AF106" s="80"/>
      <c r="AG106" s="80"/>
      <c r="AH106" s="791"/>
      <c r="AI106" s="793"/>
      <c r="AJ106" s="80"/>
      <c r="AK106" s="80"/>
      <c r="AL106" s="80"/>
      <c r="AM106" s="795"/>
      <c r="AN106" s="79" t="s">
        <v>266</v>
      </c>
      <c r="AO106" s="79" t="s">
        <v>744</v>
      </c>
      <c r="AP106" s="784"/>
      <c r="AQ106" s="784"/>
      <c r="AR106" s="782"/>
      <c r="AS106" s="784"/>
      <c r="AT106" s="784"/>
      <c r="AU106" s="784"/>
      <c r="AV106" s="784"/>
      <c r="AW106" s="3"/>
      <c r="AX106" s="3"/>
      <c r="AY106" s="3"/>
      <c r="AZ106" s="3"/>
      <c r="BA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row>
    <row r="107" spans="1:119" s="161" customFormat="1" ht="235.8">
      <c r="A107" s="76" t="s">
        <v>259</v>
      </c>
      <c r="B107" s="76" t="s">
        <v>201</v>
      </c>
      <c r="C107" s="77" t="s">
        <v>363</v>
      </c>
      <c r="D107" s="76" t="s">
        <v>219</v>
      </c>
      <c r="E107" s="82" t="s">
        <v>266</v>
      </c>
      <c r="F107" s="78">
        <v>2024130010129</v>
      </c>
      <c r="G107" s="76" t="s">
        <v>274</v>
      </c>
      <c r="H107" s="76" t="s">
        <v>287</v>
      </c>
      <c r="I107" s="76" t="s">
        <v>417</v>
      </c>
      <c r="J107" s="187">
        <v>4292</v>
      </c>
      <c r="K107" s="210">
        <v>0.55000000000000004</v>
      </c>
      <c r="L107" s="79" t="s">
        <v>314</v>
      </c>
      <c r="M107" s="79"/>
      <c r="N107" s="79" t="s">
        <v>809</v>
      </c>
      <c r="O107" s="79">
        <v>57272</v>
      </c>
      <c r="P107" s="211">
        <v>47300</v>
      </c>
      <c r="Q107" s="80"/>
      <c r="R107" s="80"/>
      <c r="S107" s="190">
        <v>45660</v>
      </c>
      <c r="T107" s="190">
        <v>46022</v>
      </c>
      <c r="U107" s="191">
        <f t="shared" si="7"/>
        <v>362</v>
      </c>
      <c r="V107" s="187">
        <v>47300</v>
      </c>
      <c r="W107" s="79" t="s">
        <v>352</v>
      </c>
      <c r="X107" s="80" t="s">
        <v>368</v>
      </c>
      <c r="Y107" s="76" t="s">
        <v>433</v>
      </c>
      <c r="Z107" s="76" t="s">
        <v>434</v>
      </c>
      <c r="AA107" s="81" t="s">
        <v>351</v>
      </c>
      <c r="AB107" s="110" t="s">
        <v>596</v>
      </c>
      <c r="AC107" s="82">
        <v>293580000</v>
      </c>
      <c r="AD107" s="80"/>
      <c r="AE107" s="110" t="s">
        <v>681</v>
      </c>
      <c r="AF107" s="80"/>
      <c r="AG107" s="80"/>
      <c r="AH107" s="791"/>
      <c r="AI107" s="793"/>
      <c r="AJ107" s="80"/>
      <c r="AK107" s="80"/>
      <c r="AL107" s="80"/>
      <c r="AM107" s="795"/>
      <c r="AN107" s="79" t="s">
        <v>266</v>
      </c>
      <c r="AO107" s="79" t="s">
        <v>744</v>
      </c>
      <c r="AP107" s="784"/>
      <c r="AQ107" s="784"/>
      <c r="AR107" s="782"/>
      <c r="AS107" s="784"/>
      <c r="AT107" s="784"/>
      <c r="AU107" s="784"/>
      <c r="AV107" s="784"/>
      <c r="AW107" s="3"/>
      <c r="AX107" s="3"/>
      <c r="AY107" s="3"/>
      <c r="AZ107" s="3"/>
      <c r="BA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row>
    <row r="108" spans="1:119" s="161" customFormat="1" ht="235.8">
      <c r="A108" s="76" t="s">
        <v>259</v>
      </c>
      <c r="B108" s="76" t="s">
        <v>201</v>
      </c>
      <c r="C108" s="77" t="s">
        <v>363</v>
      </c>
      <c r="D108" s="76" t="s">
        <v>219</v>
      </c>
      <c r="E108" s="82" t="s">
        <v>266</v>
      </c>
      <c r="F108" s="78">
        <v>2024130010129</v>
      </c>
      <c r="G108" s="76" t="s">
        <v>274</v>
      </c>
      <c r="H108" s="76" t="s">
        <v>287</v>
      </c>
      <c r="I108" s="76" t="s">
        <v>417</v>
      </c>
      <c r="J108" s="187">
        <v>4292</v>
      </c>
      <c r="K108" s="210">
        <v>0.55000000000000004</v>
      </c>
      <c r="L108" s="79" t="s">
        <v>313</v>
      </c>
      <c r="M108" s="79"/>
      <c r="N108" s="79" t="s">
        <v>809</v>
      </c>
      <c r="O108" s="79">
        <v>57272</v>
      </c>
      <c r="P108" s="211">
        <v>47300</v>
      </c>
      <c r="Q108" s="80"/>
      <c r="R108" s="80"/>
      <c r="S108" s="190">
        <v>45660</v>
      </c>
      <c r="T108" s="190">
        <v>46022</v>
      </c>
      <c r="U108" s="191">
        <f t="shared" si="7"/>
        <v>362</v>
      </c>
      <c r="V108" s="187">
        <v>47300</v>
      </c>
      <c r="W108" s="79" t="s">
        <v>352</v>
      </c>
      <c r="X108" s="80" t="s">
        <v>368</v>
      </c>
      <c r="Y108" s="76" t="s">
        <v>433</v>
      </c>
      <c r="Z108" s="76" t="s">
        <v>434</v>
      </c>
      <c r="AA108" s="81" t="s">
        <v>351</v>
      </c>
      <c r="AB108" s="110" t="s">
        <v>596</v>
      </c>
      <c r="AC108" s="82">
        <v>50400000</v>
      </c>
      <c r="AD108" s="80"/>
      <c r="AE108" s="80" t="s">
        <v>49</v>
      </c>
      <c r="AF108" s="80"/>
      <c r="AG108" s="80"/>
      <c r="AH108" s="791"/>
      <c r="AI108" s="793"/>
      <c r="AJ108" s="80"/>
      <c r="AK108" s="80"/>
      <c r="AL108" s="80"/>
      <c r="AM108" s="795"/>
      <c r="AN108" s="79" t="s">
        <v>266</v>
      </c>
      <c r="AO108" s="79" t="s">
        <v>744</v>
      </c>
      <c r="AP108" s="784"/>
      <c r="AQ108" s="784"/>
      <c r="AR108" s="782"/>
      <c r="AS108" s="784"/>
      <c r="AT108" s="784"/>
      <c r="AU108" s="784"/>
      <c r="AV108" s="784"/>
      <c r="AW108" s="3"/>
      <c r="AX108" s="3"/>
      <c r="AY108" s="3"/>
      <c r="AZ108" s="3"/>
      <c r="BA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row>
    <row r="109" spans="1:119" s="161" customFormat="1" ht="235.8">
      <c r="A109" s="76" t="s">
        <v>259</v>
      </c>
      <c r="B109" s="76" t="s">
        <v>201</v>
      </c>
      <c r="C109" s="77" t="s">
        <v>363</v>
      </c>
      <c r="D109" s="76" t="s">
        <v>219</v>
      </c>
      <c r="E109" s="82" t="s">
        <v>266</v>
      </c>
      <c r="F109" s="78">
        <v>2024130010129</v>
      </c>
      <c r="G109" s="76" t="s">
        <v>274</v>
      </c>
      <c r="H109" s="76" t="s">
        <v>287</v>
      </c>
      <c r="I109" s="76" t="s">
        <v>417</v>
      </c>
      <c r="J109" s="187">
        <v>4292</v>
      </c>
      <c r="K109" s="210">
        <v>0.55000000000000004</v>
      </c>
      <c r="L109" s="79" t="s">
        <v>313</v>
      </c>
      <c r="M109" s="79"/>
      <c r="N109" s="79" t="s">
        <v>809</v>
      </c>
      <c r="O109" s="79">
        <v>57272</v>
      </c>
      <c r="P109" s="211">
        <v>47300</v>
      </c>
      <c r="Q109" s="80"/>
      <c r="R109" s="80"/>
      <c r="S109" s="190">
        <v>45660</v>
      </c>
      <c r="T109" s="190">
        <v>46022</v>
      </c>
      <c r="U109" s="191">
        <f t="shared" si="7"/>
        <v>362</v>
      </c>
      <c r="V109" s="187">
        <v>47300</v>
      </c>
      <c r="W109" s="79" t="s">
        <v>352</v>
      </c>
      <c r="X109" s="80" t="s">
        <v>368</v>
      </c>
      <c r="Y109" s="76" t="s">
        <v>433</v>
      </c>
      <c r="Z109" s="76" t="s">
        <v>434</v>
      </c>
      <c r="AA109" s="81" t="s">
        <v>351</v>
      </c>
      <c r="AB109" s="110" t="s">
        <v>697</v>
      </c>
      <c r="AC109" s="82">
        <v>97000000</v>
      </c>
      <c r="AD109" s="80"/>
      <c r="AE109" s="80" t="s">
        <v>49</v>
      </c>
      <c r="AF109" s="80"/>
      <c r="AG109" s="80"/>
      <c r="AH109" s="791"/>
      <c r="AI109" s="793"/>
      <c r="AJ109" s="80"/>
      <c r="AK109" s="80"/>
      <c r="AL109" s="80"/>
      <c r="AM109" s="795"/>
      <c r="AN109" s="79" t="s">
        <v>266</v>
      </c>
      <c r="AO109" s="79" t="s">
        <v>744</v>
      </c>
      <c r="AP109" s="784"/>
      <c r="AQ109" s="784"/>
      <c r="AR109" s="782"/>
      <c r="AS109" s="784"/>
      <c r="AT109" s="784"/>
      <c r="AU109" s="784"/>
      <c r="AV109" s="784"/>
      <c r="AW109" s="3"/>
      <c r="AX109" s="3"/>
      <c r="AY109" s="3"/>
      <c r="AZ109" s="3"/>
      <c r="BA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row>
    <row r="110" spans="1:119" s="161" customFormat="1" ht="409.6">
      <c r="A110" s="76" t="s">
        <v>259</v>
      </c>
      <c r="B110" s="76" t="s">
        <v>201</v>
      </c>
      <c r="C110" s="77" t="s">
        <v>363</v>
      </c>
      <c r="D110" s="76" t="s">
        <v>219</v>
      </c>
      <c r="E110" s="82" t="s">
        <v>266</v>
      </c>
      <c r="F110" s="78">
        <v>2024130010129</v>
      </c>
      <c r="G110" s="76" t="s">
        <v>274</v>
      </c>
      <c r="H110" s="76" t="s">
        <v>287</v>
      </c>
      <c r="I110" s="76" t="s">
        <v>417</v>
      </c>
      <c r="J110" s="187">
        <v>4292</v>
      </c>
      <c r="K110" s="210">
        <v>0.55000000000000004</v>
      </c>
      <c r="L110" s="79" t="s">
        <v>310</v>
      </c>
      <c r="M110" s="79" t="s">
        <v>632</v>
      </c>
      <c r="N110" s="79" t="s">
        <v>809</v>
      </c>
      <c r="O110" s="79">
        <v>57272</v>
      </c>
      <c r="P110" s="211">
        <v>47300</v>
      </c>
      <c r="Q110" s="80"/>
      <c r="R110" s="80"/>
      <c r="S110" s="190">
        <v>45660</v>
      </c>
      <c r="T110" s="190">
        <v>46022</v>
      </c>
      <c r="U110" s="191">
        <f t="shared" si="7"/>
        <v>362</v>
      </c>
      <c r="V110" s="187">
        <v>47300</v>
      </c>
      <c r="W110" s="79" t="s">
        <v>352</v>
      </c>
      <c r="X110" s="80" t="s">
        <v>368</v>
      </c>
      <c r="Y110" s="76" t="s">
        <v>433</v>
      </c>
      <c r="Z110" s="76" t="s">
        <v>434</v>
      </c>
      <c r="AA110" s="81" t="s">
        <v>351</v>
      </c>
      <c r="AB110" s="110" t="s">
        <v>596</v>
      </c>
      <c r="AC110" s="82">
        <v>236880000</v>
      </c>
      <c r="AD110" s="80"/>
      <c r="AE110" s="80" t="s">
        <v>49</v>
      </c>
      <c r="AF110" s="80"/>
      <c r="AG110" s="80"/>
      <c r="AH110" s="791"/>
      <c r="AI110" s="793"/>
      <c r="AJ110" s="80"/>
      <c r="AK110" s="80"/>
      <c r="AL110" s="80"/>
      <c r="AM110" s="795"/>
      <c r="AN110" s="79" t="s">
        <v>266</v>
      </c>
      <c r="AO110" s="79" t="s">
        <v>744</v>
      </c>
      <c r="AP110" s="784"/>
      <c r="AQ110" s="784"/>
      <c r="AR110" s="782"/>
      <c r="AS110" s="784"/>
      <c r="AT110" s="784"/>
      <c r="AU110" s="784"/>
      <c r="AV110" s="784"/>
      <c r="AW110" s="3"/>
      <c r="AX110" s="3"/>
      <c r="AY110" s="3"/>
      <c r="AZ110" s="3"/>
      <c r="BA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row>
    <row r="111" spans="1:119" s="161" customFormat="1" ht="235.8">
      <c r="A111" s="76" t="s">
        <v>259</v>
      </c>
      <c r="B111" s="76" t="s">
        <v>201</v>
      </c>
      <c r="C111" s="77" t="s">
        <v>363</v>
      </c>
      <c r="D111" s="76" t="s">
        <v>219</v>
      </c>
      <c r="E111" s="82" t="s">
        <v>266</v>
      </c>
      <c r="F111" s="78">
        <v>2024130010129</v>
      </c>
      <c r="G111" s="76" t="s">
        <v>274</v>
      </c>
      <c r="H111" s="76" t="s">
        <v>287</v>
      </c>
      <c r="I111" s="76" t="s">
        <v>417</v>
      </c>
      <c r="J111" s="187">
        <v>4292</v>
      </c>
      <c r="K111" s="210">
        <v>0.55000000000000004</v>
      </c>
      <c r="L111" s="79" t="s">
        <v>311</v>
      </c>
      <c r="M111" s="79"/>
      <c r="N111" s="79" t="s">
        <v>810</v>
      </c>
      <c r="O111" s="79">
        <v>57272</v>
      </c>
      <c r="P111" s="211">
        <v>47300</v>
      </c>
      <c r="Q111" s="80"/>
      <c r="R111" s="80"/>
      <c r="S111" s="190">
        <v>45660</v>
      </c>
      <c r="T111" s="190">
        <v>46022</v>
      </c>
      <c r="U111" s="191">
        <f t="shared" si="7"/>
        <v>362</v>
      </c>
      <c r="V111" s="187">
        <v>47300</v>
      </c>
      <c r="W111" s="79" t="s">
        <v>352</v>
      </c>
      <c r="X111" s="80" t="s">
        <v>368</v>
      </c>
      <c r="Y111" s="76" t="s">
        <v>435</v>
      </c>
      <c r="Z111" s="76" t="s">
        <v>436</v>
      </c>
      <c r="AA111" s="81" t="s">
        <v>351</v>
      </c>
      <c r="AB111" s="110" t="s">
        <v>596</v>
      </c>
      <c r="AC111" s="82">
        <v>216720000</v>
      </c>
      <c r="AD111" s="80"/>
      <c r="AE111" s="110" t="s">
        <v>681</v>
      </c>
      <c r="AF111" s="80"/>
      <c r="AG111" s="80"/>
      <c r="AH111" s="791"/>
      <c r="AI111" s="793"/>
      <c r="AJ111" s="80"/>
      <c r="AK111" s="80"/>
      <c r="AL111" s="80"/>
      <c r="AM111" s="795"/>
      <c r="AN111" s="79" t="s">
        <v>266</v>
      </c>
      <c r="AO111" s="79" t="s">
        <v>744</v>
      </c>
      <c r="AP111" s="784"/>
      <c r="AQ111" s="784"/>
      <c r="AR111" s="782"/>
      <c r="AS111" s="784"/>
      <c r="AT111" s="784"/>
      <c r="AU111" s="784"/>
      <c r="AV111" s="784"/>
      <c r="AW111" s="3"/>
      <c r="AX111" s="3"/>
      <c r="AY111" s="3"/>
      <c r="AZ111" s="3"/>
      <c r="BA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row>
    <row r="112" spans="1:119" s="161" customFormat="1" ht="235.8">
      <c r="A112" s="76" t="s">
        <v>259</v>
      </c>
      <c r="B112" s="76" t="s">
        <v>201</v>
      </c>
      <c r="C112" s="77" t="s">
        <v>363</v>
      </c>
      <c r="D112" s="76" t="s">
        <v>219</v>
      </c>
      <c r="E112" s="82" t="s">
        <v>266</v>
      </c>
      <c r="F112" s="78">
        <v>2024130010129</v>
      </c>
      <c r="G112" s="76" t="s">
        <v>274</v>
      </c>
      <c r="H112" s="76" t="s">
        <v>287</v>
      </c>
      <c r="I112" s="76" t="s">
        <v>417</v>
      </c>
      <c r="J112" s="187">
        <v>4292</v>
      </c>
      <c r="K112" s="210">
        <v>0.5</v>
      </c>
      <c r="L112" s="79" t="s">
        <v>311</v>
      </c>
      <c r="M112" s="79"/>
      <c r="N112" s="79" t="s">
        <v>810</v>
      </c>
      <c r="O112" s="79">
        <v>57272</v>
      </c>
      <c r="P112" s="211">
        <v>47300</v>
      </c>
      <c r="Q112" s="80"/>
      <c r="R112" s="80"/>
      <c r="S112" s="190">
        <v>45660</v>
      </c>
      <c r="T112" s="190">
        <v>46022</v>
      </c>
      <c r="U112" s="191">
        <f t="shared" si="7"/>
        <v>362</v>
      </c>
      <c r="V112" s="187">
        <v>47300</v>
      </c>
      <c r="W112" s="79" t="s">
        <v>352</v>
      </c>
      <c r="X112" s="80" t="s">
        <v>368</v>
      </c>
      <c r="Y112" s="81" t="s">
        <v>437</v>
      </c>
      <c r="Z112" s="76" t="s">
        <v>436</v>
      </c>
      <c r="AA112" s="81" t="s">
        <v>351</v>
      </c>
      <c r="AB112" s="110" t="s">
        <v>698</v>
      </c>
      <c r="AC112" s="82">
        <v>233697961</v>
      </c>
      <c r="AD112" s="80"/>
      <c r="AE112" s="110" t="s">
        <v>681</v>
      </c>
      <c r="AF112" s="80"/>
      <c r="AG112" s="80"/>
      <c r="AH112" s="791"/>
      <c r="AI112" s="793"/>
      <c r="AJ112" s="80"/>
      <c r="AK112" s="80"/>
      <c r="AL112" s="80"/>
      <c r="AM112" s="795"/>
      <c r="AN112" s="79" t="s">
        <v>266</v>
      </c>
      <c r="AO112" s="79" t="s">
        <v>744</v>
      </c>
      <c r="AP112" s="784"/>
      <c r="AQ112" s="784"/>
      <c r="AR112" s="782"/>
      <c r="AS112" s="784"/>
      <c r="AT112" s="784"/>
      <c r="AU112" s="784"/>
      <c r="AV112" s="784"/>
      <c r="AW112" s="3"/>
      <c r="AX112" s="3"/>
      <c r="AY112" s="3"/>
      <c r="AZ112" s="3"/>
      <c r="BA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row>
    <row r="113" spans="1:119" s="161" customFormat="1" ht="235.8">
      <c r="A113" s="76" t="s">
        <v>259</v>
      </c>
      <c r="B113" s="76" t="s">
        <v>201</v>
      </c>
      <c r="C113" s="77" t="s">
        <v>363</v>
      </c>
      <c r="D113" s="76" t="s">
        <v>219</v>
      </c>
      <c r="E113" s="82" t="s">
        <v>266</v>
      </c>
      <c r="F113" s="78">
        <v>2024130010129</v>
      </c>
      <c r="G113" s="76" t="s">
        <v>274</v>
      </c>
      <c r="H113" s="76" t="s">
        <v>287</v>
      </c>
      <c r="I113" s="76" t="s">
        <v>417</v>
      </c>
      <c r="J113" s="187">
        <v>4292</v>
      </c>
      <c r="K113" s="210">
        <v>0.55000000000000004</v>
      </c>
      <c r="L113" s="79" t="s">
        <v>311</v>
      </c>
      <c r="M113" s="79"/>
      <c r="N113" s="79" t="s">
        <v>810</v>
      </c>
      <c r="O113" s="79">
        <v>57272</v>
      </c>
      <c r="P113" s="211">
        <v>47300</v>
      </c>
      <c r="Q113" s="80"/>
      <c r="R113" s="80"/>
      <c r="S113" s="190">
        <v>45660</v>
      </c>
      <c r="T113" s="190">
        <v>46022</v>
      </c>
      <c r="U113" s="191">
        <f t="shared" si="7"/>
        <v>362</v>
      </c>
      <c r="V113" s="187">
        <v>47300</v>
      </c>
      <c r="W113" s="79" t="s">
        <v>352</v>
      </c>
      <c r="X113" s="80" t="s">
        <v>368</v>
      </c>
      <c r="Y113" s="81" t="s">
        <v>437</v>
      </c>
      <c r="Z113" s="76" t="s">
        <v>436</v>
      </c>
      <c r="AA113" s="81" t="s">
        <v>351</v>
      </c>
      <c r="AB113" s="110" t="s">
        <v>699</v>
      </c>
      <c r="AC113" s="82">
        <v>84000004</v>
      </c>
      <c r="AD113" s="80"/>
      <c r="AE113" s="110" t="s">
        <v>681</v>
      </c>
      <c r="AF113" s="80"/>
      <c r="AG113" s="80"/>
      <c r="AH113" s="791"/>
      <c r="AI113" s="793"/>
      <c r="AJ113" s="80"/>
      <c r="AK113" s="80"/>
      <c r="AL113" s="80"/>
      <c r="AM113" s="795"/>
      <c r="AN113" s="79" t="s">
        <v>266</v>
      </c>
      <c r="AO113" s="79" t="s">
        <v>744</v>
      </c>
      <c r="AP113" s="784"/>
      <c r="AQ113" s="784"/>
      <c r="AR113" s="782"/>
      <c r="AS113" s="784"/>
      <c r="AT113" s="784"/>
      <c r="AU113" s="784"/>
      <c r="AV113" s="784"/>
      <c r="AW113" s="3"/>
      <c r="AX113" s="3"/>
      <c r="AY113" s="3"/>
      <c r="AZ113" s="3"/>
      <c r="BA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row>
    <row r="114" spans="1:119" s="161" customFormat="1" ht="235.8">
      <c r="A114" s="76" t="s">
        <v>259</v>
      </c>
      <c r="B114" s="76" t="s">
        <v>201</v>
      </c>
      <c r="C114" s="77" t="s">
        <v>363</v>
      </c>
      <c r="D114" s="76" t="s">
        <v>219</v>
      </c>
      <c r="E114" s="82" t="s">
        <v>266</v>
      </c>
      <c r="F114" s="78">
        <v>2024130010129</v>
      </c>
      <c r="G114" s="76" t="s">
        <v>274</v>
      </c>
      <c r="H114" s="76" t="s">
        <v>287</v>
      </c>
      <c r="I114" s="76" t="s">
        <v>417</v>
      </c>
      <c r="J114" s="187">
        <v>4292</v>
      </c>
      <c r="K114" s="210">
        <v>0.55000000000000004</v>
      </c>
      <c r="L114" s="79" t="s">
        <v>311</v>
      </c>
      <c r="M114" s="79"/>
      <c r="N114" s="79" t="s">
        <v>811</v>
      </c>
      <c r="O114" s="79">
        <v>57272</v>
      </c>
      <c r="P114" s="211">
        <v>47300</v>
      </c>
      <c r="Q114" s="80"/>
      <c r="R114" s="80"/>
      <c r="S114" s="190">
        <v>45660</v>
      </c>
      <c r="T114" s="190">
        <v>46022</v>
      </c>
      <c r="U114" s="191">
        <f t="shared" si="7"/>
        <v>362</v>
      </c>
      <c r="V114" s="187">
        <v>47300</v>
      </c>
      <c r="W114" s="79" t="s">
        <v>352</v>
      </c>
      <c r="X114" s="80" t="s">
        <v>368</v>
      </c>
      <c r="Y114" s="76" t="s">
        <v>439</v>
      </c>
      <c r="Z114" s="76" t="s">
        <v>438</v>
      </c>
      <c r="AA114" s="81" t="s">
        <v>351</v>
      </c>
      <c r="AB114" s="110" t="s">
        <v>697</v>
      </c>
      <c r="AC114" s="82">
        <v>102000000</v>
      </c>
      <c r="AD114" s="80"/>
      <c r="AE114" s="110" t="s">
        <v>681</v>
      </c>
      <c r="AF114" s="80"/>
      <c r="AG114" s="80"/>
      <c r="AH114" s="791"/>
      <c r="AI114" s="793"/>
      <c r="AJ114" s="80"/>
      <c r="AK114" s="80"/>
      <c r="AL114" s="80"/>
      <c r="AM114" s="795"/>
      <c r="AN114" s="79" t="s">
        <v>266</v>
      </c>
      <c r="AO114" s="79" t="s">
        <v>744</v>
      </c>
      <c r="AP114" s="784"/>
      <c r="AQ114" s="784"/>
      <c r="AR114" s="782"/>
      <c r="AS114" s="784"/>
      <c r="AT114" s="784"/>
      <c r="AU114" s="784"/>
      <c r="AV114" s="784"/>
      <c r="AW114" s="3"/>
      <c r="AX114" s="3"/>
      <c r="AY114" s="3"/>
      <c r="AZ114" s="3"/>
      <c r="BA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row>
    <row r="115" spans="1:119" s="161" customFormat="1" ht="53.25" customHeight="1">
      <c r="A115" s="76"/>
      <c r="B115" s="76"/>
      <c r="C115" s="77"/>
      <c r="D115" s="76"/>
      <c r="E115" s="722" t="s">
        <v>773</v>
      </c>
      <c r="F115" s="723"/>
      <c r="G115" s="723"/>
      <c r="H115" s="723"/>
      <c r="I115" s="723"/>
      <c r="J115" s="723"/>
      <c r="K115" s="723"/>
      <c r="L115" s="723"/>
      <c r="M115" s="723"/>
      <c r="N115" s="723"/>
      <c r="O115" s="723"/>
      <c r="P115" s="723"/>
      <c r="Q115" s="724"/>
      <c r="R115" s="80"/>
      <c r="S115" s="190"/>
      <c r="T115" s="190"/>
      <c r="U115" s="191"/>
      <c r="V115" s="187"/>
      <c r="W115" s="79"/>
      <c r="X115" s="80"/>
      <c r="Y115" s="76"/>
      <c r="Z115" s="76"/>
      <c r="AA115" s="81"/>
      <c r="AB115" s="110"/>
      <c r="AC115" s="82"/>
      <c r="AD115" s="80"/>
      <c r="AE115" s="110"/>
      <c r="AF115" s="80"/>
      <c r="AG115" s="80"/>
      <c r="AH115" s="230"/>
      <c r="AI115" s="231"/>
      <c r="AJ115" s="80"/>
      <c r="AK115" s="80"/>
      <c r="AL115" s="80"/>
      <c r="AM115" s="232"/>
      <c r="AN115" s="79"/>
      <c r="AO115" s="257" t="s">
        <v>767</v>
      </c>
      <c r="AP115" s="246">
        <f>SUM(AP99)</f>
        <v>2572740622.8499999</v>
      </c>
      <c r="AQ115" s="246">
        <f t="shared" ref="AQ115:AT115" si="11">SUM(AQ99)</f>
        <v>489232000</v>
      </c>
      <c r="AR115" s="279">
        <f t="shared" si="11"/>
        <v>0.19020000000000001</v>
      </c>
      <c r="AS115" s="246">
        <f t="shared" si="11"/>
        <v>0</v>
      </c>
      <c r="AT115" s="246">
        <f t="shared" si="11"/>
        <v>0</v>
      </c>
      <c r="AU115" s="280">
        <v>0</v>
      </c>
      <c r="AV115" s="280">
        <v>0</v>
      </c>
      <c r="AW115" s="3"/>
      <c r="AX115" s="3"/>
      <c r="AY115" s="3"/>
      <c r="AZ115" s="3"/>
      <c r="BA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row>
    <row r="116" spans="1:119" s="162" customFormat="1" ht="179.4">
      <c r="A116" s="83" t="s">
        <v>259</v>
      </c>
      <c r="B116" s="83" t="s">
        <v>201</v>
      </c>
      <c r="C116" s="84" t="s">
        <v>363</v>
      </c>
      <c r="D116" s="83" t="s">
        <v>220</v>
      </c>
      <c r="E116" s="83" t="s">
        <v>267</v>
      </c>
      <c r="F116" s="188">
        <v>2024130010139</v>
      </c>
      <c r="G116" s="83" t="s">
        <v>275</v>
      </c>
      <c r="H116" s="83" t="s">
        <v>288</v>
      </c>
      <c r="I116" s="83" t="s">
        <v>249</v>
      </c>
      <c r="J116" s="176">
        <v>15796</v>
      </c>
      <c r="K116" s="210">
        <v>0.45</v>
      </c>
      <c r="L116" s="85" t="s">
        <v>319</v>
      </c>
      <c r="M116" s="86"/>
      <c r="N116" s="85" t="s">
        <v>812</v>
      </c>
      <c r="O116" s="85">
        <v>33718</v>
      </c>
      <c r="P116" s="211">
        <v>30744</v>
      </c>
      <c r="Q116" s="86">
        <v>10000</v>
      </c>
      <c r="R116" s="86">
        <f>+Q116/P116</f>
        <v>0.32526671870934165</v>
      </c>
      <c r="S116" s="190">
        <v>45660</v>
      </c>
      <c r="T116" s="190">
        <v>46022</v>
      </c>
      <c r="U116" s="191">
        <f t="shared" si="7"/>
        <v>362</v>
      </c>
      <c r="V116" s="83">
        <v>30744</v>
      </c>
      <c r="W116" s="85" t="s">
        <v>352</v>
      </c>
      <c r="X116" s="86" t="s">
        <v>368</v>
      </c>
      <c r="Y116" s="189" t="s">
        <v>440</v>
      </c>
      <c r="Z116" s="85" t="s">
        <v>441</v>
      </c>
      <c r="AA116" s="87" t="s">
        <v>351</v>
      </c>
      <c r="AB116" s="137" t="s">
        <v>596</v>
      </c>
      <c r="AC116" s="138">
        <v>336672000</v>
      </c>
      <c r="AD116" s="85" t="s">
        <v>55</v>
      </c>
      <c r="AE116" s="86" t="s">
        <v>49</v>
      </c>
      <c r="AF116" s="86"/>
      <c r="AG116" s="86"/>
      <c r="AH116" s="827">
        <v>3456124347</v>
      </c>
      <c r="AI116" s="830"/>
      <c r="AJ116" s="86"/>
      <c r="AK116" s="86"/>
      <c r="AL116" s="86"/>
      <c r="AM116" s="833" t="s">
        <v>651</v>
      </c>
      <c r="AN116" s="85" t="s">
        <v>267</v>
      </c>
      <c r="AO116" s="85" t="s">
        <v>745</v>
      </c>
      <c r="AP116" s="817">
        <v>3656986372.5799999</v>
      </c>
      <c r="AQ116" s="817">
        <v>1390029739.48</v>
      </c>
      <c r="AR116" s="836">
        <v>0.38009999999999999</v>
      </c>
      <c r="AS116" s="817">
        <v>0</v>
      </c>
      <c r="AT116" s="817">
        <v>0</v>
      </c>
      <c r="AU116" s="820">
        <v>0</v>
      </c>
      <c r="AV116" s="820">
        <v>0</v>
      </c>
      <c r="AW116" s="3"/>
      <c r="AX116" s="3"/>
      <c r="AY116" s="3"/>
      <c r="AZ116" s="3"/>
      <c r="BA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row>
    <row r="117" spans="1:119" s="162" customFormat="1" ht="179.4">
      <c r="A117" s="83" t="s">
        <v>259</v>
      </c>
      <c r="B117" s="83" t="s">
        <v>201</v>
      </c>
      <c r="C117" s="84" t="s">
        <v>363</v>
      </c>
      <c r="D117" s="83" t="s">
        <v>220</v>
      </c>
      <c r="E117" s="83" t="s">
        <v>267</v>
      </c>
      <c r="F117" s="188">
        <v>2024130010139</v>
      </c>
      <c r="G117" s="83" t="s">
        <v>275</v>
      </c>
      <c r="H117" s="83" t="s">
        <v>288</v>
      </c>
      <c r="I117" s="83" t="s">
        <v>249</v>
      </c>
      <c r="J117" s="176">
        <v>15796</v>
      </c>
      <c r="K117" s="210">
        <v>0.45</v>
      </c>
      <c r="L117" s="85" t="s">
        <v>321</v>
      </c>
      <c r="M117" s="86"/>
      <c r="N117" s="85" t="s">
        <v>813</v>
      </c>
      <c r="O117" s="85">
        <v>33718</v>
      </c>
      <c r="P117" s="211">
        <v>30744</v>
      </c>
      <c r="Q117" s="86">
        <v>10000</v>
      </c>
      <c r="R117" s="86"/>
      <c r="S117" s="190">
        <v>45660</v>
      </c>
      <c r="T117" s="190">
        <v>46022</v>
      </c>
      <c r="U117" s="191">
        <f t="shared" si="7"/>
        <v>362</v>
      </c>
      <c r="V117" s="83">
        <v>30744</v>
      </c>
      <c r="W117" s="85" t="s">
        <v>352</v>
      </c>
      <c r="X117" s="86" t="s">
        <v>368</v>
      </c>
      <c r="Y117" s="85" t="s">
        <v>442</v>
      </c>
      <c r="Z117" s="85" t="s">
        <v>443</v>
      </c>
      <c r="AA117" s="87" t="s">
        <v>351</v>
      </c>
      <c r="AB117" s="137" t="s">
        <v>700</v>
      </c>
      <c r="AC117" s="138">
        <v>134061978</v>
      </c>
      <c r="AD117" s="85" t="s">
        <v>50</v>
      </c>
      <c r="AE117" s="86" t="s">
        <v>49</v>
      </c>
      <c r="AF117" s="86"/>
      <c r="AG117" s="86"/>
      <c r="AH117" s="828"/>
      <c r="AI117" s="831"/>
      <c r="AJ117" s="86"/>
      <c r="AK117" s="86"/>
      <c r="AL117" s="86"/>
      <c r="AM117" s="834"/>
      <c r="AN117" s="85" t="s">
        <v>267</v>
      </c>
      <c r="AO117" s="85" t="s">
        <v>745</v>
      </c>
      <c r="AP117" s="818"/>
      <c r="AQ117" s="818"/>
      <c r="AR117" s="837"/>
      <c r="AS117" s="818"/>
      <c r="AT117" s="818"/>
      <c r="AU117" s="818"/>
      <c r="AV117" s="818"/>
      <c r="AW117" s="3"/>
      <c r="AX117" s="3"/>
      <c r="AY117" s="3"/>
      <c r="AZ117" s="3"/>
      <c r="BA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row>
    <row r="118" spans="1:119" s="162" customFormat="1" ht="179.4">
      <c r="A118" s="83" t="s">
        <v>259</v>
      </c>
      <c r="B118" s="83" t="s">
        <v>201</v>
      </c>
      <c r="C118" s="84" t="s">
        <v>363</v>
      </c>
      <c r="D118" s="83" t="s">
        <v>220</v>
      </c>
      <c r="E118" s="83" t="s">
        <v>267</v>
      </c>
      <c r="F118" s="188">
        <v>2024130010139</v>
      </c>
      <c r="G118" s="83" t="s">
        <v>275</v>
      </c>
      <c r="H118" s="83" t="s">
        <v>288</v>
      </c>
      <c r="I118" s="83" t="s">
        <v>249</v>
      </c>
      <c r="J118" s="176">
        <v>15796</v>
      </c>
      <c r="K118" s="210">
        <v>0.45</v>
      </c>
      <c r="L118" s="85" t="s">
        <v>321</v>
      </c>
      <c r="M118" s="86"/>
      <c r="N118" s="85" t="s">
        <v>813</v>
      </c>
      <c r="O118" s="85">
        <v>33718</v>
      </c>
      <c r="P118" s="211">
        <v>30744</v>
      </c>
      <c r="Q118" s="86">
        <v>10000</v>
      </c>
      <c r="R118" s="86"/>
      <c r="S118" s="190">
        <v>45660</v>
      </c>
      <c r="T118" s="190">
        <v>46022</v>
      </c>
      <c r="U118" s="191">
        <f t="shared" si="7"/>
        <v>362</v>
      </c>
      <c r="V118" s="83">
        <v>30744</v>
      </c>
      <c r="W118" s="85" t="s">
        <v>352</v>
      </c>
      <c r="X118" s="86" t="s">
        <v>368</v>
      </c>
      <c r="Y118" s="85" t="s">
        <v>423</v>
      </c>
      <c r="Z118" s="85" t="s">
        <v>444</v>
      </c>
      <c r="AA118" s="87" t="s">
        <v>351</v>
      </c>
      <c r="AB118" s="137" t="s">
        <v>704</v>
      </c>
      <c r="AC118" s="138">
        <v>83999999.995999992</v>
      </c>
      <c r="AD118" s="85" t="s">
        <v>52</v>
      </c>
      <c r="AE118" s="86" t="s">
        <v>49</v>
      </c>
      <c r="AF118" s="86"/>
      <c r="AG118" s="86"/>
      <c r="AH118" s="828"/>
      <c r="AI118" s="831"/>
      <c r="AJ118" s="86"/>
      <c r="AK118" s="86"/>
      <c r="AL118" s="86"/>
      <c r="AM118" s="834"/>
      <c r="AN118" s="85" t="s">
        <v>267</v>
      </c>
      <c r="AO118" s="85" t="s">
        <v>745</v>
      </c>
      <c r="AP118" s="818"/>
      <c r="AQ118" s="818"/>
      <c r="AR118" s="837"/>
      <c r="AS118" s="818"/>
      <c r="AT118" s="818"/>
      <c r="AU118" s="818"/>
      <c r="AV118" s="818"/>
      <c r="AW118" s="3"/>
      <c r="AX118" s="3"/>
      <c r="AY118" s="3"/>
      <c r="AZ118" s="3"/>
      <c r="BA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row>
    <row r="119" spans="1:119" s="162" customFormat="1" ht="179.4">
      <c r="A119" s="83" t="s">
        <v>259</v>
      </c>
      <c r="B119" s="83" t="s">
        <v>201</v>
      </c>
      <c r="C119" s="84" t="s">
        <v>363</v>
      </c>
      <c r="D119" s="83" t="s">
        <v>220</v>
      </c>
      <c r="E119" s="83" t="s">
        <v>267</v>
      </c>
      <c r="F119" s="188">
        <v>2024130010139</v>
      </c>
      <c r="G119" s="83" t="s">
        <v>275</v>
      </c>
      <c r="H119" s="83" t="s">
        <v>288</v>
      </c>
      <c r="I119" s="83" t="s">
        <v>249</v>
      </c>
      <c r="J119" s="176">
        <v>15796</v>
      </c>
      <c r="K119" s="210">
        <v>0.45</v>
      </c>
      <c r="L119" s="85" t="s">
        <v>321</v>
      </c>
      <c r="M119" s="86"/>
      <c r="N119" s="85" t="s">
        <v>813</v>
      </c>
      <c r="O119" s="85">
        <v>33718</v>
      </c>
      <c r="P119" s="211">
        <v>30744</v>
      </c>
      <c r="Q119" s="86">
        <v>10000</v>
      </c>
      <c r="R119" s="86"/>
      <c r="S119" s="190">
        <v>45660</v>
      </c>
      <c r="T119" s="190">
        <v>46022</v>
      </c>
      <c r="U119" s="191">
        <f t="shared" si="7"/>
        <v>362</v>
      </c>
      <c r="V119" s="83">
        <v>30744</v>
      </c>
      <c r="W119" s="85" t="s">
        <v>352</v>
      </c>
      <c r="X119" s="86" t="s">
        <v>368</v>
      </c>
      <c r="Y119" s="85" t="s">
        <v>423</v>
      </c>
      <c r="Z119" s="85" t="s">
        <v>444</v>
      </c>
      <c r="AA119" s="87" t="s">
        <v>351</v>
      </c>
      <c r="AB119" s="137" t="s">
        <v>703</v>
      </c>
      <c r="AC119" s="138">
        <v>100000000</v>
      </c>
      <c r="AD119" s="85" t="s">
        <v>56</v>
      </c>
      <c r="AE119" s="86" t="s">
        <v>49</v>
      </c>
      <c r="AF119" s="86"/>
      <c r="AG119" s="86"/>
      <c r="AH119" s="828"/>
      <c r="AI119" s="831"/>
      <c r="AJ119" s="86"/>
      <c r="AK119" s="86"/>
      <c r="AL119" s="86"/>
      <c r="AM119" s="834"/>
      <c r="AN119" s="85" t="s">
        <v>267</v>
      </c>
      <c r="AO119" s="85" t="s">
        <v>745</v>
      </c>
      <c r="AP119" s="818"/>
      <c r="AQ119" s="818"/>
      <c r="AR119" s="837"/>
      <c r="AS119" s="818"/>
      <c r="AT119" s="818"/>
      <c r="AU119" s="818"/>
      <c r="AV119" s="818"/>
      <c r="AW119" s="3"/>
      <c r="AX119" s="3"/>
      <c r="AY119" s="3"/>
      <c r="AZ119" s="3"/>
      <c r="BA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row>
    <row r="120" spans="1:119" s="162" customFormat="1" ht="179.4">
      <c r="A120" s="83" t="s">
        <v>259</v>
      </c>
      <c r="B120" s="83" t="s">
        <v>201</v>
      </c>
      <c r="C120" s="84" t="s">
        <v>363</v>
      </c>
      <c r="D120" s="83" t="s">
        <v>220</v>
      </c>
      <c r="E120" s="83" t="s">
        <v>267</v>
      </c>
      <c r="F120" s="188">
        <v>2024130010139</v>
      </c>
      <c r="G120" s="83" t="s">
        <v>275</v>
      </c>
      <c r="H120" s="83" t="s">
        <v>288</v>
      </c>
      <c r="I120" s="83" t="s">
        <v>249</v>
      </c>
      <c r="J120" s="176">
        <v>15796</v>
      </c>
      <c r="K120" s="210">
        <v>0.45</v>
      </c>
      <c r="L120" s="85" t="s">
        <v>320</v>
      </c>
      <c r="M120" s="86"/>
      <c r="N120" s="85" t="s">
        <v>814</v>
      </c>
      <c r="O120" s="85">
        <v>33718</v>
      </c>
      <c r="P120" s="211">
        <v>30744</v>
      </c>
      <c r="Q120" s="86">
        <v>10000</v>
      </c>
      <c r="R120" s="86"/>
      <c r="S120" s="190">
        <v>45660</v>
      </c>
      <c r="T120" s="190">
        <v>46022</v>
      </c>
      <c r="U120" s="191">
        <f t="shared" si="7"/>
        <v>362</v>
      </c>
      <c r="V120" s="83">
        <v>30744</v>
      </c>
      <c r="W120" s="85" t="s">
        <v>352</v>
      </c>
      <c r="X120" s="86" t="s">
        <v>368</v>
      </c>
      <c r="Y120" s="85" t="s">
        <v>423</v>
      </c>
      <c r="Z120" s="85" t="s">
        <v>444</v>
      </c>
      <c r="AA120" s="87" t="s">
        <v>351</v>
      </c>
      <c r="AB120" s="137" t="s">
        <v>596</v>
      </c>
      <c r="AC120" s="138">
        <v>1532412000</v>
      </c>
      <c r="AD120" s="85" t="s">
        <v>55</v>
      </c>
      <c r="AE120" s="137" t="s">
        <v>679</v>
      </c>
      <c r="AF120" s="86"/>
      <c r="AG120" s="86"/>
      <c r="AH120" s="828"/>
      <c r="AI120" s="831"/>
      <c r="AJ120" s="86"/>
      <c r="AK120" s="86"/>
      <c r="AL120" s="86"/>
      <c r="AM120" s="834"/>
      <c r="AN120" s="85" t="s">
        <v>267</v>
      </c>
      <c r="AO120" s="85" t="s">
        <v>745</v>
      </c>
      <c r="AP120" s="818"/>
      <c r="AQ120" s="818"/>
      <c r="AR120" s="837"/>
      <c r="AS120" s="818"/>
      <c r="AT120" s="818"/>
      <c r="AU120" s="818"/>
      <c r="AV120" s="818"/>
      <c r="AW120" s="3"/>
      <c r="AX120" s="3"/>
      <c r="AY120" s="3"/>
      <c r="AZ120" s="3"/>
      <c r="BA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row>
    <row r="121" spans="1:119" s="162" customFormat="1" ht="179.4">
      <c r="A121" s="83" t="s">
        <v>259</v>
      </c>
      <c r="B121" s="83" t="s">
        <v>201</v>
      </c>
      <c r="C121" s="84" t="s">
        <v>363</v>
      </c>
      <c r="D121" s="83" t="s">
        <v>220</v>
      </c>
      <c r="E121" s="83" t="s">
        <v>267</v>
      </c>
      <c r="F121" s="188">
        <v>2024130010139</v>
      </c>
      <c r="G121" s="83" t="s">
        <v>275</v>
      </c>
      <c r="H121" s="83" t="s">
        <v>288</v>
      </c>
      <c r="I121" s="83" t="s">
        <v>249</v>
      </c>
      <c r="J121" s="176">
        <v>15796</v>
      </c>
      <c r="K121" s="210">
        <v>0.45</v>
      </c>
      <c r="L121" s="85" t="s">
        <v>320</v>
      </c>
      <c r="M121" s="86"/>
      <c r="N121" s="85" t="s">
        <v>814</v>
      </c>
      <c r="O121" s="85">
        <v>33718</v>
      </c>
      <c r="P121" s="211">
        <v>30744</v>
      </c>
      <c r="Q121" s="86">
        <v>10000</v>
      </c>
      <c r="R121" s="86"/>
      <c r="S121" s="190">
        <v>45660</v>
      </c>
      <c r="T121" s="190">
        <v>46022</v>
      </c>
      <c r="U121" s="191">
        <f t="shared" si="7"/>
        <v>362</v>
      </c>
      <c r="V121" s="83">
        <v>30744</v>
      </c>
      <c r="W121" s="85" t="s">
        <v>352</v>
      </c>
      <c r="X121" s="86" t="s">
        <v>368</v>
      </c>
      <c r="Y121" s="85" t="s">
        <v>445</v>
      </c>
      <c r="Z121" s="85" t="s">
        <v>446</v>
      </c>
      <c r="AA121" s="87" t="s">
        <v>351</v>
      </c>
      <c r="AB121" s="137" t="s">
        <v>703</v>
      </c>
      <c r="AC121" s="138">
        <v>100000000</v>
      </c>
      <c r="AD121" s="85" t="s">
        <v>56</v>
      </c>
      <c r="AE121" s="86" t="s">
        <v>49</v>
      </c>
      <c r="AF121" s="86"/>
      <c r="AG121" s="86"/>
      <c r="AH121" s="828"/>
      <c r="AI121" s="831"/>
      <c r="AJ121" s="86"/>
      <c r="AK121" s="86"/>
      <c r="AL121" s="86"/>
      <c r="AM121" s="834"/>
      <c r="AN121" s="85" t="s">
        <v>267</v>
      </c>
      <c r="AO121" s="85" t="s">
        <v>745</v>
      </c>
      <c r="AP121" s="818"/>
      <c r="AQ121" s="818"/>
      <c r="AR121" s="837"/>
      <c r="AS121" s="818"/>
      <c r="AT121" s="818"/>
      <c r="AU121" s="818"/>
      <c r="AV121" s="818"/>
      <c r="AW121" s="3"/>
      <c r="AX121" s="3"/>
      <c r="AY121" s="3"/>
      <c r="AZ121" s="3"/>
      <c r="BA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row>
    <row r="122" spans="1:119" s="162" customFormat="1" ht="179.4">
      <c r="A122" s="83" t="s">
        <v>259</v>
      </c>
      <c r="B122" s="83" t="s">
        <v>201</v>
      </c>
      <c r="C122" s="84" t="s">
        <v>363</v>
      </c>
      <c r="D122" s="83" t="s">
        <v>220</v>
      </c>
      <c r="E122" s="83" t="s">
        <v>267</v>
      </c>
      <c r="F122" s="188">
        <v>2024130010139</v>
      </c>
      <c r="G122" s="83" t="s">
        <v>275</v>
      </c>
      <c r="H122" s="83" t="s">
        <v>288</v>
      </c>
      <c r="I122" s="83" t="s">
        <v>249</v>
      </c>
      <c r="J122" s="176">
        <v>15796</v>
      </c>
      <c r="K122" s="210">
        <v>0.45</v>
      </c>
      <c r="L122" s="85" t="s">
        <v>317</v>
      </c>
      <c r="M122" s="86"/>
      <c r="N122" s="85" t="s">
        <v>814</v>
      </c>
      <c r="O122" s="85">
        <v>33718</v>
      </c>
      <c r="P122" s="211">
        <v>30744</v>
      </c>
      <c r="Q122" s="86">
        <v>10000</v>
      </c>
      <c r="R122" s="86"/>
      <c r="S122" s="190">
        <v>45660</v>
      </c>
      <c r="T122" s="190">
        <v>46022</v>
      </c>
      <c r="U122" s="191">
        <f t="shared" si="7"/>
        <v>362</v>
      </c>
      <c r="V122" s="83">
        <v>30744</v>
      </c>
      <c r="W122" s="85" t="s">
        <v>352</v>
      </c>
      <c r="X122" s="86" t="s">
        <v>368</v>
      </c>
      <c r="Y122" s="85" t="s">
        <v>445</v>
      </c>
      <c r="Z122" s="85" t="s">
        <v>446</v>
      </c>
      <c r="AA122" s="87" t="s">
        <v>351</v>
      </c>
      <c r="AB122" s="137" t="s">
        <v>596</v>
      </c>
      <c r="AC122" s="138">
        <v>475398000</v>
      </c>
      <c r="AD122" s="85" t="s">
        <v>55</v>
      </c>
      <c r="AE122" s="86" t="s">
        <v>49</v>
      </c>
      <c r="AF122" s="86"/>
      <c r="AG122" s="86"/>
      <c r="AH122" s="828"/>
      <c r="AI122" s="831"/>
      <c r="AJ122" s="86"/>
      <c r="AK122" s="86"/>
      <c r="AL122" s="86"/>
      <c r="AM122" s="834"/>
      <c r="AN122" s="85" t="s">
        <v>267</v>
      </c>
      <c r="AO122" s="85" t="s">
        <v>745</v>
      </c>
      <c r="AP122" s="818"/>
      <c r="AQ122" s="818"/>
      <c r="AR122" s="837"/>
      <c r="AS122" s="818"/>
      <c r="AT122" s="818"/>
      <c r="AU122" s="818"/>
      <c r="AV122" s="818"/>
      <c r="AW122" s="3"/>
      <c r="AX122" s="3"/>
      <c r="AY122" s="3"/>
      <c r="AZ122" s="3"/>
      <c r="BA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row>
    <row r="123" spans="1:119" s="162" customFormat="1" ht="179.4">
      <c r="A123" s="83" t="s">
        <v>259</v>
      </c>
      <c r="B123" s="83" t="s">
        <v>201</v>
      </c>
      <c r="C123" s="84" t="s">
        <v>363</v>
      </c>
      <c r="D123" s="83" t="s">
        <v>220</v>
      </c>
      <c r="E123" s="83" t="s">
        <v>267</v>
      </c>
      <c r="F123" s="188">
        <v>2024130010139</v>
      </c>
      <c r="G123" s="83" t="s">
        <v>275</v>
      </c>
      <c r="H123" s="83" t="s">
        <v>288</v>
      </c>
      <c r="I123" s="83" t="s">
        <v>249</v>
      </c>
      <c r="J123" s="176">
        <v>15796</v>
      </c>
      <c r="K123" s="210">
        <v>0.45</v>
      </c>
      <c r="L123" s="85" t="s">
        <v>318</v>
      </c>
      <c r="M123" s="86"/>
      <c r="N123" s="85" t="s">
        <v>814</v>
      </c>
      <c r="O123" s="85">
        <v>33718</v>
      </c>
      <c r="P123" s="211">
        <v>30744</v>
      </c>
      <c r="Q123" s="86">
        <v>10000</v>
      </c>
      <c r="R123" s="86"/>
      <c r="S123" s="190">
        <v>45660</v>
      </c>
      <c r="T123" s="190">
        <v>46022</v>
      </c>
      <c r="U123" s="191">
        <f t="shared" si="7"/>
        <v>362</v>
      </c>
      <c r="V123" s="83">
        <v>30744</v>
      </c>
      <c r="W123" s="85" t="s">
        <v>352</v>
      </c>
      <c r="X123" s="86" t="s">
        <v>368</v>
      </c>
      <c r="Y123" s="85" t="s">
        <v>445</v>
      </c>
      <c r="Z123" s="85" t="s">
        <v>446</v>
      </c>
      <c r="AA123" s="87" t="s">
        <v>351</v>
      </c>
      <c r="AB123" s="137" t="s">
        <v>596</v>
      </c>
      <c r="AC123" s="138">
        <v>104328000</v>
      </c>
      <c r="AD123" s="85" t="s">
        <v>55</v>
      </c>
      <c r="AE123" s="86" t="s">
        <v>49</v>
      </c>
      <c r="AF123" s="86"/>
      <c r="AG123" s="86"/>
      <c r="AH123" s="828"/>
      <c r="AI123" s="831"/>
      <c r="AJ123" s="86"/>
      <c r="AK123" s="86"/>
      <c r="AL123" s="86"/>
      <c r="AM123" s="834"/>
      <c r="AN123" s="85" t="s">
        <v>267</v>
      </c>
      <c r="AO123" s="85" t="s">
        <v>745</v>
      </c>
      <c r="AP123" s="818"/>
      <c r="AQ123" s="818"/>
      <c r="AR123" s="837"/>
      <c r="AS123" s="818"/>
      <c r="AT123" s="818"/>
      <c r="AU123" s="818"/>
      <c r="AV123" s="818"/>
      <c r="AW123" s="3"/>
      <c r="AX123" s="3"/>
      <c r="AY123" s="3"/>
      <c r="AZ123" s="3"/>
      <c r="BA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row>
    <row r="124" spans="1:119" s="162" customFormat="1" ht="179.4">
      <c r="A124" s="83" t="s">
        <v>259</v>
      </c>
      <c r="B124" s="83" t="s">
        <v>201</v>
      </c>
      <c r="C124" s="84" t="s">
        <v>363</v>
      </c>
      <c r="D124" s="83" t="s">
        <v>220</v>
      </c>
      <c r="E124" s="83" t="s">
        <v>267</v>
      </c>
      <c r="F124" s="188">
        <v>2024130010139</v>
      </c>
      <c r="G124" s="83" t="s">
        <v>275</v>
      </c>
      <c r="H124" s="83" t="s">
        <v>418</v>
      </c>
      <c r="I124" s="83" t="s">
        <v>249</v>
      </c>
      <c r="J124" s="176">
        <v>15796</v>
      </c>
      <c r="K124" s="210">
        <v>0.45</v>
      </c>
      <c r="L124" s="85" t="s">
        <v>315</v>
      </c>
      <c r="M124" s="86"/>
      <c r="N124" s="85" t="s">
        <v>815</v>
      </c>
      <c r="O124" s="85">
        <v>33718</v>
      </c>
      <c r="P124" s="211">
        <v>30744</v>
      </c>
      <c r="Q124" s="86">
        <v>10000</v>
      </c>
      <c r="R124" s="86"/>
      <c r="S124" s="190">
        <v>45660</v>
      </c>
      <c r="T124" s="190">
        <v>46022</v>
      </c>
      <c r="U124" s="191">
        <f t="shared" si="7"/>
        <v>362</v>
      </c>
      <c r="V124" s="83">
        <v>30744</v>
      </c>
      <c r="W124" s="85" t="s">
        <v>352</v>
      </c>
      <c r="X124" s="86" t="s">
        <v>368</v>
      </c>
      <c r="Y124" s="85" t="s">
        <v>447</v>
      </c>
      <c r="Z124" s="85" t="s">
        <v>438</v>
      </c>
      <c r="AA124" s="87" t="s">
        <v>351</v>
      </c>
      <c r="AB124" s="137" t="s">
        <v>700</v>
      </c>
      <c r="AC124" s="138">
        <v>134061978</v>
      </c>
      <c r="AD124" s="85" t="s">
        <v>50</v>
      </c>
      <c r="AE124" s="86" t="s">
        <v>49</v>
      </c>
      <c r="AF124" s="86"/>
      <c r="AG124" s="86"/>
      <c r="AH124" s="828"/>
      <c r="AI124" s="831"/>
      <c r="AJ124" s="86"/>
      <c r="AK124" s="86"/>
      <c r="AL124" s="86"/>
      <c r="AM124" s="834"/>
      <c r="AN124" s="85" t="s">
        <v>267</v>
      </c>
      <c r="AO124" s="85" t="s">
        <v>745</v>
      </c>
      <c r="AP124" s="818"/>
      <c r="AQ124" s="818"/>
      <c r="AR124" s="837"/>
      <c r="AS124" s="818"/>
      <c r="AT124" s="818"/>
      <c r="AU124" s="818"/>
      <c r="AV124" s="818"/>
      <c r="AW124" s="3"/>
      <c r="AX124" s="3"/>
      <c r="AY124" s="3"/>
      <c r="AZ124" s="3"/>
      <c r="BA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row>
    <row r="125" spans="1:119" s="162" customFormat="1" ht="179.4">
      <c r="A125" s="83" t="s">
        <v>259</v>
      </c>
      <c r="B125" s="83" t="s">
        <v>201</v>
      </c>
      <c r="C125" s="84" t="s">
        <v>363</v>
      </c>
      <c r="D125" s="83" t="s">
        <v>220</v>
      </c>
      <c r="E125" s="83" t="s">
        <v>267</v>
      </c>
      <c r="F125" s="188">
        <v>2024130010139</v>
      </c>
      <c r="G125" s="83" t="s">
        <v>275</v>
      </c>
      <c r="H125" s="83" t="s">
        <v>418</v>
      </c>
      <c r="I125" s="83" t="s">
        <v>249</v>
      </c>
      <c r="J125" s="176">
        <v>15796</v>
      </c>
      <c r="K125" s="210">
        <v>0.45</v>
      </c>
      <c r="L125" s="85" t="s">
        <v>315</v>
      </c>
      <c r="M125" s="86"/>
      <c r="N125" s="85" t="s">
        <v>815</v>
      </c>
      <c r="O125" s="85">
        <v>33718</v>
      </c>
      <c r="P125" s="211">
        <v>30744</v>
      </c>
      <c r="Q125" s="86">
        <v>10000</v>
      </c>
      <c r="R125" s="86"/>
      <c r="S125" s="190">
        <v>45660</v>
      </c>
      <c r="T125" s="190">
        <v>46022</v>
      </c>
      <c r="U125" s="191">
        <f t="shared" si="7"/>
        <v>362</v>
      </c>
      <c r="V125" s="83">
        <v>30744</v>
      </c>
      <c r="W125" s="85" t="s">
        <v>352</v>
      </c>
      <c r="X125" s="86" t="s">
        <v>368</v>
      </c>
      <c r="Y125" s="85" t="s">
        <v>447</v>
      </c>
      <c r="Z125" s="85" t="s">
        <v>438</v>
      </c>
      <c r="AA125" s="87" t="s">
        <v>351</v>
      </c>
      <c r="AB125" s="137" t="s">
        <v>701</v>
      </c>
      <c r="AC125" s="138">
        <v>100000000</v>
      </c>
      <c r="AD125" s="85" t="s">
        <v>53</v>
      </c>
      <c r="AE125" s="86" t="s">
        <v>49</v>
      </c>
      <c r="AF125" s="86"/>
      <c r="AG125" s="86"/>
      <c r="AH125" s="828"/>
      <c r="AI125" s="831"/>
      <c r="AJ125" s="86"/>
      <c r="AK125" s="86"/>
      <c r="AL125" s="86"/>
      <c r="AM125" s="834"/>
      <c r="AN125" s="85" t="s">
        <v>267</v>
      </c>
      <c r="AO125" s="85" t="s">
        <v>745</v>
      </c>
      <c r="AP125" s="818"/>
      <c r="AQ125" s="818"/>
      <c r="AR125" s="837"/>
      <c r="AS125" s="818"/>
      <c r="AT125" s="818"/>
      <c r="AU125" s="818"/>
      <c r="AV125" s="818"/>
      <c r="AW125" s="3"/>
      <c r="AX125" s="3"/>
      <c r="AY125" s="3"/>
      <c r="AZ125" s="3"/>
      <c r="BA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row>
    <row r="126" spans="1:119" s="162" customFormat="1" ht="179.4">
      <c r="A126" s="83" t="s">
        <v>259</v>
      </c>
      <c r="B126" s="83" t="s">
        <v>201</v>
      </c>
      <c r="C126" s="84" t="s">
        <v>363</v>
      </c>
      <c r="D126" s="83" t="s">
        <v>220</v>
      </c>
      <c r="E126" s="83" t="s">
        <v>267</v>
      </c>
      <c r="F126" s="188">
        <v>2024130010139</v>
      </c>
      <c r="G126" s="83" t="s">
        <v>275</v>
      </c>
      <c r="H126" s="83" t="s">
        <v>418</v>
      </c>
      <c r="I126" s="83" t="s">
        <v>249</v>
      </c>
      <c r="J126" s="176">
        <v>15796</v>
      </c>
      <c r="K126" s="210">
        <v>0.45</v>
      </c>
      <c r="L126" s="85" t="s">
        <v>315</v>
      </c>
      <c r="M126" s="86"/>
      <c r="N126" s="85" t="s">
        <v>815</v>
      </c>
      <c r="O126" s="85">
        <v>33718</v>
      </c>
      <c r="P126" s="211">
        <v>30744</v>
      </c>
      <c r="Q126" s="86">
        <v>10000</v>
      </c>
      <c r="R126" s="86"/>
      <c r="S126" s="190">
        <v>45660</v>
      </c>
      <c r="T126" s="190">
        <v>46022</v>
      </c>
      <c r="U126" s="191">
        <f t="shared" si="7"/>
        <v>362</v>
      </c>
      <c r="V126" s="83">
        <v>30744</v>
      </c>
      <c r="W126" s="85" t="s">
        <v>352</v>
      </c>
      <c r="X126" s="86" t="s">
        <v>368</v>
      </c>
      <c r="Y126" s="85" t="s">
        <v>447</v>
      </c>
      <c r="Z126" s="85" t="s">
        <v>438</v>
      </c>
      <c r="AA126" s="87" t="s">
        <v>351</v>
      </c>
      <c r="AB126" s="137" t="s">
        <v>702</v>
      </c>
      <c r="AC126" s="138">
        <v>20000000</v>
      </c>
      <c r="AD126" s="85" t="s">
        <v>53</v>
      </c>
      <c r="AE126" s="86" t="s">
        <v>49</v>
      </c>
      <c r="AF126" s="86"/>
      <c r="AG126" s="86"/>
      <c r="AH126" s="828"/>
      <c r="AI126" s="831"/>
      <c r="AJ126" s="86"/>
      <c r="AK126" s="86"/>
      <c r="AL126" s="86"/>
      <c r="AM126" s="834"/>
      <c r="AN126" s="85" t="s">
        <v>267</v>
      </c>
      <c r="AO126" s="85" t="s">
        <v>745</v>
      </c>
      <c r="AP126" s="818"/>
      <c r="AQ126" s="818"/>
      <c r="AR126" s="837"/>
      <c r="AS126" s="818"/>
      <c r="AT126" s="818"/>
      <c r="AU126" s="818"/>
      <c r="AV126" s="818"/>
      <c r="AW126" s="3"/>
      <c r="AX126" s="3"/>
      <c r="AY126" s="3"/>
      <c r="AZ126" s="3"/>
      <c r="BA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row>
    <row r="127" spans="1:119" s="162" customFormat="1" ht="179.4">
      <c r="A127" s="83" t="s">
        <v>259</v>
      </c>
      <c r="B127" s="83" t="s">
        <v>201</v>
      </c>
      <c r="C127" s="84" t="s">
        <v>363</v>
      </c>
      <c r="D127" s="83" t="s">
        <v>220</v>
      </c>
      <c r="E127" s="83" t="s">
        <v>267</v>
      </c>
      <c r="F127" s="188">
        <v>2024130010139</v>
      </c>
      <c r="G127" s="83" t="s">
        <v>275</v>
      </c>
      <c r="H127" s="83" t="s">
        <v>418</v>
      </c>
      <c r="I127" s="83" t="s">
        <v>249</v>
      </c>
      <c r="J127" s="176">
        <v>15796</v>
      </c>
      <c r="K127" s="210">
        <v>0.45</v>
      </c>
      <c r="L127" s="85" t="s">
        <v>315</v>
      </c>
      <c r="M127" s="86"/>
      <c r="N127" s="85" t="s">
        <v>815</v>
      </c>
      <c r="O127" s="85">
        <v>33718</v>
      </c>
      <c r="P127" s="211">
        <v>30744</v>
      </c>
      <c r="Q127" s="86">
        <v>10000</v>
      </c>
      <c r="R127" s="86"/>
      <c r="S127" s="190">
        <v>45660</v>
      </c>
      <c r="T127" s="190">
        <v>46022</v>
      </c>
      <c r="U127" s="191">
        <f t="shared" si="7"/>
        <v>362</v>
      </c>
      <c r="V127" s="83">
        <v>30744</v>
      </c>
      <c r="W127" s="85" t="s">
        <v>352</v>
      </c>
      <c r="X127" s="86" t="s">
        <v>368</v>
      </c>
      <c r="Y127" s="85" t="s">
        <v>447</v>
      </c>
      <c r="Z127" s="85" t="s">
        <v>438</v>
      </c>
      <c r="AA127" s="87" t="s">
        <v>351</v>
      </c>
      <c r="AB127" s="137" t="s">
        <v>703</v>
      </c>
      <c r="AC127" s="138">
        <v>126578391.00399999</v>
      </c>
      <c r="AD127" s="85" t="s">
        <v>54</v>
      </c>
      <c r="AE127" s="86" t="s">
        <v>49</v>
      </c>
      <c r="AF127" s="86"/>
      <c r="AG127" s="86"/>
      <c r="AH127" s="828"/>
      <c r="AI127" s="831"/>
      <c r="AJ127" s="86"/>
      <c r="AK127" s="86"/>
      <c r="AL127" s="86"/>
      <c r="AM127" s="834"/>
      <c r="AN127" s="85" t="s">
        <v>267</v>
      </c>
      <c r="AO127" s="85" t="s">
        <v>745</v>
      </c>
      <c r="AP127" s="818"/>
      <c r="AQ127" s="818"/>
      <c r="AR127" s="837"/>
      <c r="AS127" s="818"/>
      <c r="AT127" s="818"/>
      <c r="AU127" s="818"/>
      <c r="AV127" s="818"/>
      <c r="AW127" s="3"/>
      <c r="AX127" s="3"/>
      <c r="AY127" s="3"/>
      <c r="AZ127" s="3"/>
      <c r="BA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row>
    <row r="128" spans="1:119" s="162" customFormat="1" ht="179.4">
      <c r="A128" s="83" t="s">
        <v>259</v>
      </c>
      <c r="B128" s="83" t="s">
        <v>201</v>
      </c>
      <c r="C128" s="84" t="s">
        <v>363</v>
      </c>
      <c r="D128" s="83" t="s">
        <v>220</v>
      </c>
      <c r="E128" s="83" t="s">
        <v>267</v>
      </c>
      <c r="F128" s="188">
        <v>2024130010139</v>
      </c>
      <c r="G128" s="83" t="s">
        <v>275</v>
      </c>
      <c r="H128" s="83" t="s">
        <v>418</v>
      </c>
      <c r="I128" s="83" t="s">
        <v>249</v>
      </c>
      <c r="J128" s="176">
        <v>15796</v>
      </c>
      <c r="K128" s="210">
        <v>0.45</v>
      </c>
      <c r="L128" s="85" t="s">
        <v>316</v>
      </c>
      <c r="M128" s="86"/>
      <c r="N128" s="85" t="s">
        <v>663</v>
      </c>
      <c r="O128" s="85">
        <v>33718</v>
      </c>
      <c r="P128" s="211">
        <v>20</v>
      </c>
      <c r="Q128" s="86">
        <v>10000</v>
      </c>
      <c r="R128" s="86"/>
      <c r="S128" s="190">
        <v>45660</v>
      </c>
      <c r="T128" s="190">
        <v>46022</v>
      </c>
      <c r="U128" s="191">
        <f t="shared" si="7"/>
        <v>362</v>
      </c>
      <c r="V128" s="83">
        <v>30744</v>
      </c>
      <c r="W128" s="85" t="s">
        <v>352</v>
      </c>
      <c r="X128" s="86" t="s">
        <v>368</v>
      </c>
      <c r="Y128" s="85" t="s">
        <v>447</v>
      </c>
      <c r="Z128" s="85" t="s">
        <v>438</v>
      </c>
      <c r="AA128" s="87" t="s">
        <v>351</v>
      </c>
      <c r="AB128" s="137" t="s">
        <v>596</v>
      </c>
      <c r="AC128" s="138">
        <v>108612000</v>
      </c>
      <c r="AD128" s="85" t="s">
        <v>55</v>
      </c>
      <c r="AE128" s="86" t="s">
        <v>49</v>
      </c>
      <c r="AF128" s="86"/>
      <c r="AG128" s="86"/>
      <c r="AH128" s="828"/>
      <c r="AI128" s="831"/>
      <c r="AJ128" s="86"/>
      <c r="AK128" s="86"/>
      <c r="AL128" s="86"/>
      <c r="AM128" s="834"/>
      <c r="AN128" s="85" t="s">
        <v>267</v>
      </c>
      <c r="AO128" s="85" t="s">
        <v>745</v>
      </c>
      <c r="AP128" s="818"/>
      <c r="AQ128" s="818"/>
      <c r="AR128" s="837"/>
      <c r="AS128" s="818"/>
      <c r="AT128" s="818"/>
      <c r="AU128" s="818"/>
      <c r="AV128" s="818"/>
      <c r="AW128" s="3"/>
      <c r="AX128" s="3"/>
      <c r="AY128" s="3"/>
      <c r="AZ128" s="3"/>
      <c r="BA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row>
    <row r="129" spans="1:119" s="162" customFormat="1" ht="179.4">
      <c r="A129" s="83" t="s">
        <v>259</v>
      </c>
      <c r="B129" s="83" t="s">
        <v>201</v>
      </c>
      <c r="C129" s="84" t="s">
        <v>363</v>
      </c>
      <c r="D129" s="83" t="s">
        <v>220</v>
      </c>
      <c r="E129" s="83" t="s">
        <v>267</v>
      </c>
      <c r="F129" s="188">
        <v>2024130010139</v>
      </c>
      <c r="G129" s="83" t="s">
        <v>275</v>
      </c>
      <c r="H129" s="83" t="s">
        <v>418</v>
      </c>
      <c r="I129" s="83" t="s">
        <v>249</v>
      </c>
      <c r="J129" s="176">
        <v>15796</v>
      </c>
      <c r="K129" s="210">
        <v>0.45</v>
      </c>
      <c r="L129" s="85" t="s">
        <v>316</v>
      </c>
      <c r="M129" s="86"/>
      <c r="N129" s="85" t="s">
        <v>663</v>
      </c>
      <c r="O129" s="85">
        <v>33718</v>
      </c>
      <c r="P129" s="211">
        <v>20</v>
      </c>
      <c r="Q129" s="86">
        <v>10000</v>
      </c>
      <c r="R129" s="86"/>
      <c r="S129" s="190">
        <v>45660</v>
      </c>
      <c r="T129" s="190">
        <v>46022</v>
      </c>
      <c r="U129" s="191">
        <f t="shared" si="7"/>
        <v>362</v>
      </c>
      <c r="V129" s="83">
        <v>30744</v>
      </c>
      <c r="W129" s="85" t="s">
        <v>352</v>
      </c>
      <c r="X129" s="86" t="s">
        <v>368</v>
      </c>
      <c r="Y129" s="85" t="s">
        <v>447</v>
      </c>
      <c r="Z129" s="85" t="s">
        <v>438</v>
      </c>
      <c r="AA129" s="87" t="s">
        <v>351</v>
      </c>
      <c r="AB129" s="137" t="s">
        <v>666</v>
      </c>
      <c r="AC129" s="138">
        <v>100000000</v>
      </c>
      <c r="AD129" s="85" t="s">
        <v>52</v>
      </c>
      <c r="AE129" s="86" t="s">
        <v>49</v>
      </c>
      <c r="AF129" s="86"/>
      <c r="AG129" s="86"/>
      <c r="AH129" s="829"/>
      <c r="AI129" s="832"/>
      <c r="AJ129" s="86"/>
      <c r="AK129" s="86"/>
      <c r="AL129" s="86"/>
      <c r="AM129" s="835"/>
      <c r="AN129" s="85" t="s">
        <v>267</v>
      </c>
      <c r="AO129" s="85" t="s">
        <v>745</v>
      </c>
      <c r="AP129" s="819"/>
      <c r="AQ129" s="819"/>
      <c r="AR129" s="838"/>
      <c r="AS129" s="819"/>
      <c r="AT129" s="819"/>
      <c r="AU129" s="819"/>
      <c r="AV129" s="819"/>
      <c r="AW129" s="3"/>
      <c r="AX129" s="3"/>
      <c r="AY129" s="3"/>
      <c r="AZ129" s="3"/>
      <c r="BA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row>
    <row r="130" spans="1:119" s="162" customFormat="1" ht="42.75" customHeight="1">
      <c r="A130" s="83"/>
      <c r="B130" s="83"/>
      <c r="C130" s="84"/>
      <c r="D130" s="83"/>
      <c r="E130" s="722" t="s">
        <v>774</v>
      </c>
      <c r="F130" s="723"/>
      <c r="G130" s="723"/>
      <c r="H130" s="723"/>
      <c r="I130" s="723"/>
      <c r="J130" s="723"/>
      <c r="K130" s="723"/>
      <c r="L130" s="723"/>
      <c r="M130" s="723"/>
      <c r="N130" s="723"/>
      <c r="O130" s="723"/>
      <c r="P130" s="723"/>
      <c r="Q130" s="724"/>
      <c r="R130" s="86"/>
      <c r="S130" s="190"/>
      <c r="T130" s="190"/>
      <c r="U130" s="191"/>
      <c r="V130" s="83"/>
      <c r="W130" s="85"/>
      <c r="X130" s="86"/>
      <c r="Y130" s="85"/>
      <c r="Z130" s="85"/>
      <c r="AA130" s="87"/>
      <c r="AB130" s="137"/>
      <c r="AC130" s="138"/>
      <c r="AD130" s="85"/>
      <c r="AE130" s="86"/>
      <c r="AF130" s="86"/>
      <c r="AG130" s="86"/>
      <c r="AH130" s="236"/>
      <c r="AI130" s="237"/>
      <c r="AJ130" s="86"/>
      <c r="AK130" s="86"/>
      <c r="AL130" s="86"/>
      <c r="AM130" s="240"/>
      <c r="AN130" s="85"/>
      <c r="AO130" s="257" t="s">
        <v>767</v>
      </c>
      <c r="AP130" s="249">
        <f>SUM(AP116)</f>
        <v>3656986372.5799999</v>
      </c>
      <c r="AQ130" s="249">
        <f t="shared" ref="AQ130:AT130" si="12">SUM(AQ116)</f>
        <v>1390029739.48</v>
      </c>
      <c r="AR130" s="281">
        <f t="shared" si="12"/>
        <v>0.38009999999999999</v>
      </c>
      <c r="AS130" s="249">
        <f t="shared" si="12"/>
        <v>0</v>
      </c>
      <c r="AT130" s="249">
        <f t="shared" si="12"/>
        <v>0</v>
      </c>
      <c r="AU130" s="282">
        <v>0</v>
      </c>
      <c r="AV130" s="282">
        <v>0</v>
      </c>
      <c r="AW130" s="3"/>
      <c r="AX130" s="3"/>
      <c r="AY130" s="3"/>
      <c r="AZ130" s="3"/>
      <c r="BA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row>
    <row r="131" spans="1:119" s="163" customFormat="1" ht="57.6">
      <c r="A131" s="88" t="s">
        <v>257</v>
      </c>
      <c r="B131" s="88" t="s">
        <v>202</v>
      </c>
      <c r="C131" s="89" t="s">
        <v>364</v>
      </c>
      <c r="D131" s="88" t="s">
        <v>221</v>
      </c>
      <c r="E131" s="88" t="s">
        <v>268</v>
      </c>
      <c r="F131" s="90">
        <v>2024130010142</v>
      </c>
      <c r="G131" s="88" t="s">
        <v>276</v>
      </c>
      <c r="H131" s="88" t="s">
        <v>289</v>
      </c>
      <c r="I131" s="88" t="s">
        <v>250</v>
      </c>
      <c r="J131" s="177">
        <v>40</v>
      </c>
      <c r="K131" s="210">
        <v>0.2</v>
      </c>
      <c r="L131" s="91" t="s">
        <v>603</v>
      </c>
      <c r="M131" s="92"/>
      <c r="N131" s="91" t="s">
        <v>662</v>
      </c>
      <c r="O131" s="91">
        <v>70</v>
      </c>
      <c r="P131" s="211">
        <v>85</v>
      </c>
      <c r="Q131" s="92">
        <v>5</v>
      </c>
      <c r="R131" s="92"/>
      <c r="S131" s="190">
        <v>45660</v>
      </c>
      <c r="T131" s="190">
        <v>46022</v>
      </c>
      <c r="U131" s="191">
        <f t="shared" si="7"/>
        <v>362</v>
      </c>
      <c r="V131" s="92"/>
      <c r="W131" s="91" t="s">
        <v>352</v>
      </c>
      <c r="X131" s="91" t="s">
        <v>369</v>
      </c>
      <c r="Y131" s="88" t="s">
        <v>419</v>
      </c>
      <c r="Z131" s="88" t="s">
        <v>420</v>
      </c>
      <c r="AA131" s="93" t="s">
        <v>351</v>
      </c>
      <c r="AB131" s="91" t="s">
        <v>664</v>
      </c>
      <c r="AC131" s="131">
        <v>500000000</v>
      </c>
      <c r="AD131" s="91" t="s">
        <v>53</v>
      </c>
      <c r="AE131" s="92" t="s">
        <v>49</v>
      </c>
      <c r="AF131" s="92"/>
      <c r="AG131" s="92"/>
      <c r="AH131" s="821">
        <v>770484000</v>
      </c>
      <c r="AI131" s="821"/>
      <c r="AJ131" s="92"/>
      <c r="AK131" s="92"/>
      <c r="AL131" s="92"/>
      <c r="AM131" s="824" t="s">
        <v>652</v>
      </c>
      <c r="AN131" s="91" t="s">
        <v>268</v>
      </c>
      <c r="AO131" s="153" t="s">
        <v>747</v>
      </c>
      <c r="AP131" s="811">
        <v>770484000</v>
      </c>
      <c r="AQ131" s="811">
        <v>453484000</v>
      </c>
      <c r="AR131" s="808">
        <v>0.58860000000000001</v>
      </c>
      <c r="AS131" s="811">
        <v>198800000</v>
      </c>
      <c r="AT131" s="811">
        <v>198800000</v>
      </c>
      <c r="AU131" s="814">
        <f>+AS131/AP131</f>
        <v>0.25801963441161657</v>
      </c>
      <c r="AV131" s="814">
        <f>+AT131/AP131</f>
        <v>0.25801963441161657</v>
      </c>
      <c r="AW131" s="3"/>
      <c r="AX131" s="3"/>
      <c r="AY131" s="3"/>
      <c r="AZ131" s="3"/>
      <c r="BA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row>
    <row r="132" spans="1:119" s="163" customFormat="1" ht="69">
      <c r="A132" s="88" t="s">
        <v>257</v>
      </c>
      <c r="B132" s="88" t="s">
        <v>202</v>
      </c>
      <c r="C132" s="89" t="s">
        <v>364</v>
      </c>
      <c r="D132" s="88" t="s">
        <v>222</v>
      </c>
      <c r="E132" s="88" t="s">
        <v>268</v>
      </c>
      <c r="F132" s="90">
        <v>2024130010142</v>
      </c>
      <c r="G132" s="88" t="s">
        <v>276</v>
      </c>
      <c r="H132" s="88" t="s">
        <v>289</v>
      </c>
      <c r="I132" s="88" t="s">
        <v>251</v>
      </c>
      <c r="J132" s="177">
        <v>18000</v>
      </c>
      <c r="K132" s="210">
        <v>0.35</v>
      </c>
      <c r="L132" s="94" t="s">
        <v>322</v>
      </c>
      <c r="M132" s="92"/>
      <c r="N132" s="91" t="s">
        <v>638</v>
      </c>
      <c r="O132" s="91">
        <v>20000</v>
      </c>
      <c r="P132" s="211">
        <v>15000</v>
      </c>
      <c r="Q132" s="92">
        <v>14328</v>
      </c>
      <c r="R132" s="92"/>
      <c r="S132" s="190">
        <v>45660</v>
      </c>
      <c r="T132" s="190">
        <v>46022</v>
      </c>
      <c r="U132" s="191">
        <f t="shared" si="7"/>
        <v>362</v>
      </c>
      <c r="V132" s="88">
        <v>15000</v>
      </c>
      <c r="W132" s="91" t="s">
        <v>352</v>
      </c>
      <c r="X132" s="91" t="s">
        <v>369</v>
      </c>
      <c r="Y132" s="88" t="s">
        <v>421</v>
      </c>
      <c r="Z132" s="91" t="s">
        <v>422</v>
      </c>
      <c r="AA132" s="93" t="s">
        <v>351</v>
      </c>
      <c r="AB132" s="91" t="s">
        <v>664</v>
      </c>
      <c r="AC132" s="131">
        <v>50000000</v>
      </c>
      <c r="AD132" s="91" t="s">
        <v>53</v>
      </c>
      <c r="AE132" s="92" t="s">
        <v>49</v>
      </c>
      <c r="AF132" s="92"/>
      <c r="AG132" s="92"/>
      <c r="AH132" s="822"/>
      <c r="AI132" s="822"/>
      <c r="AJ132" s="92"/>
      <c r="AK132" s="92"/>
      <c r="AL132" s="92"/>
      <c r="AM132" s="825"/>
      <c r="AN132" s="91" t="s">
        <v>268</v>
      </c>
      <c r="AO132" s="153" t="s">
        <v>748</v>
      </c>
      <c r="AP132" s="812"/>
      <c r="AQ132" s="812"/>
      <c r="AR132" s="809"/>
      <c r="AS132" s="812"/>
      <c r="AT132" s="812"/>
      <c r="AU132" s="815"/>
      <c r="AV132" s="815"/>
      <c r="AW132" s="3"/>
      <c r="AX132" s="3"/>
      <c r="AY132" s="3"/>
      <c r="AZ132" s="3"/>
      <c r="BA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row>
    <row r="133" spans="1:119" s="163" customFormat="1" ht="69">
      <c r="A133" s="88" t="s">
        <v>257</v>
      </c>
      <c r="B133" s="88" t="s">
        <v>202</v>
      </c>
      <c r="C133" s="89" t="s">
        <v>364</v>
      </c>
      <c r="D133" s="88" t="s">
        <v>224</v>
      </c>
      <c r="E133" s="88" t="s">
        <v>268</v>
      </c>
      <c r="F133" s="90">
        <v>2024130010142</v>
      </c>
      <c r="G133" s="88" t="s">
        <v>276</v>
      </c>
      <c r="H133" s="88" t="s">
        <v>289</v>
      </c>
      <c r="I133" s="88" t="s">
        <v>253</v>
      </c>
      <c r="J133" s="177">
        <f>16391+18871+1258</f>
        <v>36520</v>
      </c>
      <c r="K133" s="210">
        <v>0.25</v>
      </c>
      <c r="L133" s="91" t="s">
        <v>330</v>
      </c>
      <c r="M133" s="92"/>
      <c r="N133" s="91" t="s">
        <v>639</v>
      </c>
      <c r="O133" s="91">
        <v>32637</v>
      </c>
      <c r="P133" s="211">
        <v>17000</v>
      </c>
      <c r="Q133" s="92">
        <v>493</v>
      </c>
      <c r="R133" s="92"/>
      <c r="S133" s="190">
        <v>45660</v>
      </c>
      <c r="T133" s="190">
        <v>46022</v>
      </c>
      <c r="U133" s="191">
        <f t="shared" si="7"/>
        <v>362</v>
      </c>
      <c r="V133" s="88">
        <v>17000</v>
      </c>
      <c r="W133" s="91" t="s">
        <v>352</v>
      </c>
      <c r="X133" s="91" t="s">
        <v>369</v>
      </c>
      <c r="Y133" s="88" t="s">
        <v>423</v>
      </c>
      <c r="Z133" s="91" t="s">
        <v>424</v>
      </c>
      <c r="AA133" s="93" t="s">
        <v>351</v>
      </c>
      <c r="AB133" s="91" t="s">
        <v>664</v>
      </c>
      <c r="AC133" s="131">
        <v>50000000</v>
      </c>
      <c r="AD133" s="91" t="s">
        <v>53</v>
      </c>
      <c r="AE133" s="92" t="s">
        <v>49</v>
      </c>
      <c r="AF133" s="92"/>
      <c r="AG133" s="92"/>
      <c r="AH133" s="822"/>
      <c r="AI133" s="822"/>
      <c r="AJ133" s="92"/>
      <c r="AK133" s="92"/>
      <c r="AL133" s="92"/>
      <c r="AM133" s="825"/>
      <c r="AN133" s="91" t="s">
        <v>268</v>
      </c>
      <c r="AO133" s="153" t="s">
        <v>749</v>
      </c>
      <c r="AP133" s="812"/>
      <c r="AQ133" s="812"/>
      <c r="AR133" s="809"/>
      <c r="AS133" s="812"/>
      <c r="AT133" s="812"/>
      <c r="AU133" s="815"/>
      <c r="AV133" s="815"/>
      <c r="AW133" s="3"/>
      <c r="AX133" s="3"/>
      <c r="AY133" s="3"/>
      <c r="AZ133" s="3"/>
      <c r="BA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row>
    <row r="134" spans="1:119" s="163" customFormat="1" ht="86.4">
      <c r="A134" s="88" t="s">
        <v>257</v>
      </c>
      <c r="B134" s="88" t="s">
        <v>202</v>
      </c>
      <c r="C134" s="89" t="s">
        <v>364</v>
      </c>
      <c r="D134" s="88" t="s">
        <v>224</v>
      </c>
      <c r="E134" s="88" t="s">
        <v>268</v>
      </c>
      <c r="F134" s="90">
        <v>2024130010142</v>
      </c>
      <c r="G134" s="88" t="s">
        <v>276</v>
      </c>
      <c r="H134" s="88" t="s">
        <v>329</v>
      </c>
      <c r="I134" s="88" t="s">
        <v>253</v>
      </c>
      <c r="J134" s="177">
        <f t="shared" ref="J134:J135" si="13">16391+18871+1258</f>
        <v>36520</v>
      </c>
      <c r="K134" s="210">
        <v>0.25</v>
      </c>
      <c r="L134" s="94" t="s">
        <v>331</v>
      </c>
      <c r="M134" s="92"/>
      <c r="N134" s="91" t="s">
        <v>816</v>
      </c>
      <c r="O134" s="91">
        <v>32637</v>
      </c>
      <c r="P134" s="211">
        <v>3</v>
      </c>
      <c r="Q134" s="92">
        <v>493</v>
      </c>
      <c r="R134" s="92"/>
      <c r="S134" s="190">
        <v>45660</v>
      </c>
      <c r="T134" s="190">
        <v>46022</v>
      </c>
      <c r="U134" s="191">
        <f t="shared" si="7"/>
        <v>362</v>
      </c>
      <c r="V134" s="88">
        <v>17000</v>
      </c>
      <c r="W134" s="91" t="s">
        <v>352</v>
      </c>
      <c r="X134" s="91" t="s">
        <v>369</v>
      </c>
      <c r="Y134" s="88" t="s">
        <v>425</v>
      </c>
      <c r="Z134" s="91" t="s">
        <v>426</v>
      </c>
      <c r="AA134" s="92" t="s">
        <v>351</v>
      </c>
      <c r="AB134" s="91" t="s">
        <v>665</v>
      </c>
      <c r="AC134" s="131">
        <v>70484000</v>
      </c>
      <c r="AD134" s="91" t="s">
        <v>53</v>
      </c>
      <c r="AE134" s="92" t="s">
        <v>49</v>
      </c>
      <c r="AF134" s="92"/>
      <c r="AG134" s="92"/>
      <c r="AH134" s="822"/>
      <c r="AI134" s="822"/>
      <c r="AJ134" s="92"/>
      <c r="AK134" s="92"/>
      <c r="AL134" s="298"/>
      <c r="AM134" s="825"/>
      <c r="AN134" s="91" t="s">
        <v>268</v>
      </c>
      <c r="AO134" s="153" t="s">
        <v>749</v>
      </c>
      <c r="AP134" s="812"/>
      <c r="AQ134" s="812"/>
      <c r="AR134" s="809"/>
      <c r="AS134" s="812"/>
      <c r="AT134" s="812"/>
      <c r="AU134" s="815"/>
      <c r="AV134" s="815"/>
      <c r="AW134" s="3"/>
      <c r="AX134" s="3"/>
      <c r="AY134" s="3"/>
      <c r="AZ134" s="3"/>
      <c r="BA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row>
    <row r="135" spans="1:119" s="163" customFormat="1" ht="86.4">
      <c r="A135" s="88" t="s">
        <v>257</v>
      </c>
      <c r="B135" s="88" t="s">
        <v>202</v>
      </c>
      <c r="C135" s="89" t="s">
        <v>364</v>
      </c>
      <c r="D135" s="88" t="s">
        <v>224</v>
      </c>
      <c r="E135" s="88" t="s">
        <v>268</v>
      </c>
      <c r="F135" s="90">
        <v>2024130010142</v>
      </c>
      <c r="G135" s="88" t="s">
        <v>276</v>
      </c>
      <c r="H135" s="88" t="s">
        <v>329</v>
      </c>
      <c r="I135" s="88" t="s">
        <v>253</v>
      </c>
      <c r="J135" s="177">
        <f t="shared" si="13"/>
        <v>36520</v>
      </c>
      <c r="K135" s="210">
        <v>0.25</v>
      </c>
      <c r="L135" s="91" t="s">
        <v>332</v>
      </c>
      <c r="M135" s="92"/>
      <c r="N135" s="91" t="s">
        <v>663</v>
      </c>
      <c r="O135" s="91">
        <v>100</v>
      </c>
      <c r="P135" s="211">
        <f>2*85</f>
        <v>170</v>
      </c>
      <c r="Q135" s="92">
        <v>493</v>
      </c>
      <c r="R135" s="92"/>
      <c r="S135" s="190">
        <v>45660</v>
      </c>
      <c r="T135" s="190">
        <v>46022</v>
      </c>
      <c r="U135" s="191">
        <f t="shared" si="7"/>
        <v>362</v>
      </c>
      <c r="V135" s="88">
        <f>+V134+V132</f>
        <v>32000</v>
      </c>
      <c r="W135" s="91" t="s">
        <v>352</v>
      </c>
      <c r="X135" s="91" t="s">
        <v>369</v>
      </c>
      <c r="Y135" s="88" t="s">
        <v>425</v>
      </c>
      <c r="Z135" s="91" t="s">
        <v>426</v>
      </c>
      <c r="AA135" s="92" t="s">
        <v>351</v>
      </c>
      <c r="AB135" s="91" t="s">
        <v>664</v>
      </c>
      <c r="AC135" s="131">
        <v>100000000</v>
      </c>
      <c r="AD135" s="91" t="s">
        <v>53</v>
      </c>
      <c r="AE135" s="92" t="s">
        <v>49</v>
      </c>
      <c r="AF135" s="92"/>
      <c r="AG135" s="92"/>
      <c r="AH135" s="823"/>
      <c r="AI135" s="823"/>
      <c r="AJ135" s="92"/>
      <c r="AK135" s="92"/>
      <c r="AL135" s="298"/>
      <c r="AM135" s="826"/>
      <c r="AN135" s="91" t="s">
        <v>268</v>
      </c>
      <c r="AO135" s="153" t="s">
        <v>749</v>
      </c>
      <c r="AP135" s="813"/>
      <c r="AQ135" s="813"/>
      <c r="AR135" s="810"/>
      <c r="AS135" s="813"/>
      <c r="AT135" s="813"/>
      <c r="AU135" s="816"/>
      <c r="AV135" s="816"/>
      <c r="AW135" s="3"/>
      <c r="AX135" s="3"/>
      <c r="AY135" s="3"/>
      <c r="AZ135" s="3"/>
      <c r="BA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row>
    <row r="136" spans="1:119" s="163" customFormat="1" ht="49.5" customHeight="1">
      <c r="A136" s="88"/>
      <c r="B136" s="88"/>
      <c r="C136" s="89"/>
      <c r="D136" s="88"/>
      <c r="E136" s="722" t="s">
        <v>775</v>
      </c>
      <c r="F136" s="723"/>
      <c r="G136" s="723"/>
      <c r="H136" s="723"/>
      <c r="I136" s="723"/>
      <c r="J136" s="723"/>
      <c r="K136" s="723"/>
      <c r="L136" s="723"/>
      <c r="M136" s="723"/>
      <c r="N136" s="723"/>
      <c r="O136" s="723"/>
      <c r="P136" s="723"/>
      <c r="Q136" s="724"/>
      <c r="R136" s="92"/>
      <c r="S136" s="190"/>
      <c r="T136" s="190"/>
      <c r="U136" s="191"/>
      <c r="V136" s="88"/>
      <c r="W136" s="91"/>
      <c r="X136" s="91"/>
      <c r="Y136" s="88"/>
      <c r="Z136" s="91"/>
      <c r="AA136" s="92"/>
      <c r="AB136" s="91"/>
      <c r="AC136" s="131"/>
      <c r="AD136" s="91"/>
      <c r="AE136" s="92"/>
      <c r="AF136" s="92"/>
      <c r="AG136" s="92"/>
      <c r="AH136" s="238"/>
      <c r="AI136" s="238"/>
      <c r="AJ136" s="92"/>
      <c r="AK136" s="92"/>
      <c r="AL136" s="298"/>
      <c r="AM136" s="239"/>
      <c r="AN136" s="91"/>
      <c r="AO136" s="257" t="s">
        <v>767</v>
      </c>
      <c r="AP136" s="250">
        <f>SUM(AP131)</f>
        <v>770484000</v>
      </c>
      <c r="AQ136" s="250">
        <f t="shared" ref="AQ136:AT136" si="14">SUM(AQ131)</f>
        <v>453484000</v>
      </c>
      <c r="AR136" s="252">
        <f t="shared" si="14"/>
        <v>0.58860000000000001</v>
      </c>
      <c r="AS136" s="250">
        <f t="shared" si="14"/>
        <v>198800000</v>
      </c>
      <c r="AT136" s="250">
        <f t="shared" si="14"/>
        <v>198800000</v>
      </c>
      <c r="AU136" s="252">
        <f>AVERAGE(AU131)</f>
        <v>0.25801963441161657</v>
      </c>
      <c r="AV136" s="252">
        <f>AVERAGE(AV131)</f>
        <v>0.25801963441161657</v>
      </c>
      <c r="AW136" s="3"/>
      <c r="AX136" s="3"/>
      <c r="AY136" s="3"/>
      <c r="AZ136" s="3"/>
      <c r="BA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row>
    <row r="137" spans="1:119" s="164" customFormat="1" ht="195">
      <c r="A137" s="95" t="s">
        <v>257</v>
      </c>
      <c r="B137" s="95" t="s">
        <v>203</v>
      </c>
      <c r="C137" s="96" t="s">
        <v>365</v>
      </c>
      <c r="D137" s="95" t="s">
        <v>225</v>
      </c>
      <c r="E137" s="95" t="s">
        <v>269</v>
      </c>
      <c r="F137" s="97">
        <v>2024130010144</v>
      </c>
      <c r="G137" s="95" t="s">
        <v>608</v>
      </c>
      <c r="H137" s="95" t="s">
        <v>609</v>
      </c>
      <c r="I137" s="95" t="s">
        <v>610</v>
      </c>
      <c r="J137" s="178">
        <v>0</v>
      </c>
      <c r="K137" s="210">
        <v>0.5</v>
      </c>
      <c r="L137" s="95" t="s">
        <v>655</v>
      </c>
      <c r="M137" s="207"/>
      <c r="N137" s="98" t="s">
        <v>640</v>
      </c>
      <c r="O137" s="98">
        <v>0</v>
      </c>
      <c r="P137" s="211">
        <v>1</v>
      </c>
      <c r="Q137" s="99">
        <v>0</v>
      </c>
      <c r="R137" s="283">
        <v>0</v>
      </c>
      <c r="S137" s="190">
        <v>45660</v>
      </c>
      <c r="T137" s="190">
        <v>46022</v>
      </c>
      <c r="U137" s="191">
        <f t="shared" si="7"/>
        <v>362</v>
      </c>
      <c r="V137" s="98">
        <f>1500/2</f>
        <v>750</v>
      </c>
      <c r="W137" s="98" t="s">
        <v>352</v>
      </c>
      <c r="X137" s="99" t="s">
        <v>360</v>
      </c>
      <c r="Y137" s="98" t="s">
        <v>425</v>
      </c>
      <c r="Z137" s="98" t="s">
        <v>426</v>
      </c>
      <c r="AA137" s="99" t="s">
        <v>351</v>
      </c>
      <c r="AB137" s="133" t="s">
        <v>658</v>
      </c>
      <c r="AC137" s="134">
        <v>150000000</v>
      </c>
      <c r="AD137" s="98" t="s">
        <v>54</v>
      </c>
      <c r="AE137" s="99" t="s">
        <v>49</v>
      </c>
      <c r="AF137" s="99"/>
      <c r="AG137" s="99"/>
      <c r="AH137" s="853">
        <v>385776000</v>
      </c>
      <c r="AI137" s="853"/>
      <c r="AJ137" s="99"/>
      <c r="AK137" s="99"/>
      <c r="AL137" s="299"/>
      <c r="AM137" s="856" t="s">
        <v>653</v>
      </c>
      <c r="AN137" s="98" t="s">
        <v>269</v>
      </c>
      <c r="AO137" s="115" t="s">
        <v>734</v>
      </c>
      <c r="AP137" s="845">
        <v>385776000</v>
      </c>
      <c r="AQ137" s="845">
        <v>0</v>
      </c>
      <c r="AR137" s="859">
        <v>0</v>
      </c>
      <c r="AS137" s="845">
        <v>0</v>
      </c>
      <c r="AT137" s="845">
        <v>0</v>
      </c>
      <c r="AU137" s="848">
        <v>0</v>
      </c>
      <c r="AV137" s="848">
        <v>0</v>
      </c>
      <c r="AW137" s="3"/>
      <c r="AX137" s="3"/>
      <c r="AY137" s="3"/>
      <c r="AZ137" s="3"/>
      <c r="BA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row>
    <row r="138" spans="1:119" s="164" customFormat="1" ht="195">
      <c r="A138" s="95" t="s">
        <v>257</v>
      </c>
      <c r="B138" s="95" t="s">
        <v>203</v>
      </c>
      <c r="C138" s="96" t="s">
        <v>365</v>
      </c>
      <c r="D138" s="95" t="s">
        <v>226</v>
      </c>
      <c r="E138" s="95" t="s">
        <v>269</v>
      </c>
      <c r="F138" s="97">
        <v>2024130010144</v>
      </c>
      <c r="G138" s="95" t="s">
        <v>608</v>
      </c>
      <c r="H138" s="95" t="s">
        <v>609</v>
      </c>
      <c r="I138" s="95" t="s">
        <v>610</v>
      </c>
      <c r="J138" s="178">
        <v>0</v>
      </c>
      <c r="K138" s="210">
        <v>0.5</v>
      </c>
      <c r="L138" s="95" t="s">
        <v>654</v>
      </c>
      <c r="M138" s="207"/>
      <c r="N138" s="98" t="s">
        <v>641</v>
      </c>
      <c r="O138" s="98">
        <v>0</v>
      </c>
      <c r="P138" s="211">
        <v>1</v>
      </c>
      <c r="Q138" s="99">
        <v>0</v>
      </c>
      <c r="R138" s="283">
        <v>0</v>
      </c>
      <c r="S138" s="190">
        <v>45660</v>
      </c>
      <c r="T138" s="190">
        <v>46022</v>
      </c>
      <c r="U138" s="191">
        <f t="shared" si="7"/>
        <v>362</v>
      </c>
      <c r="V138" s="98">
        <f>1500/2</f>
        <v>750</v>
      </c>
      <c r="W138" s="98" t="s">
        <v>352</v>
      </c>
      <c r="X138" s="99" t="s">
        <v>360</v>
      </c>
      <c r="Y138" s="98" t="s">
        <v>425</v>
      </c>
      <c r="Z138" s="98" t="s">
        <v>426</v>
      </c>
      <c r="AA138" s="99" t="s">
        <v>351</v>
      </c>
      <c r="AB138" s="133" t="s">
        <v>658</v>
      </c>
      <c r="AC138" s="134">
        <v>150000000</v>
      </c>
      <c r="AD138" s="98" t="s">
        <v>54</v>
      </c>
      <c r="AE138" s="99" t="s">
        <v>49</v>
      </c>
      <c r="AF138" s="99"/>
      <c r="AG138" s="99"/>
      <c r="AH138" s="854"/>
      <c r="AI138" s="854"/>
      <c r="AJ138" s="99"/>
      <c r="AK138" s="99"/>
      <c r="AL138" s="299"/>
      <c r="AM138" s="857"/>
      <c r="AN138" s="98" t="s">
        <v>269</v>
      </c>
      <c r="AO138" s="115" t="s">
        <v>734</v>
      </c>
      <c r="AP138" s="846"/>
      <c r="AQ138" s="846"/>
      <c r="AR138" s="860"/>
      <c r="AS138" s="846"/>
      <c r="AT138" s="846"/>
      <c r="AU138" s="846"/>
      <c r="AV138" s="846"/>
      <c r="AW138" s="3"/>
      <c r="AX138" s="3"/>
      <c r="AY138" s="3"/>
      <c r="AZ138" s="3"/>
      <c r="BA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row>
    <row r="139" spans="1:119" s="164" customFormat="1" ht="195">
      <c r="A139" s="95" t="s">
        <v>257</v>
      </c>
      <c r="B139" s="95" t="s">
        <v>203</v>
      </c>
      <c r="C139" s="96" t="s">
        <v>365</v>
      </c>
      <c r="D139" s="95" t="s">
        <v>226</v>
      </c>
      <c r="E139" s="95" t="s">
        <v>269</v>
      </c>
      <c r="F139" s="97">
        <v>2024130010144</v>
      </c>
      <c r="G139" s="95" t="s">
        <v>608</v>
      </c>
      <c r="H139" s="95" t="s">
        <v>609</v>
      </c>
      <c r="I139" s="95" t="s">
        <v>610</v>
      </c>
      <c r="J139" s="178">
        <v>0</v>
      </c>
      <c r="K139" s="210">
        <v>0.5</v>
      </c>
      <c r="L139" s="95" t="s">
        <v>656</v>
      </c>
      <c r="M139" s="207"/>
      <c r="N139" s="98" t="s">
        <v>657</v>
      </c>
      <c r="O139" s="98">
        <v>0</v>
      </c>
      <c r="P139" s="211">
        <v>2</v>
      </c>
      <c r="Q139" s="99">
        <v>0</v>
      </c>
      <c r="R139" s="283">
        <v>0</v>
      </c>
      <c r="S139" s="190">
        <v>45660</v>
      </c>
      <c r="T139" s="190">
        <v>46022</v>
      </c>
      <c r="U139" s="191">
        <f t="shared" ref="U139:U142" si="15">+T139-S139</f>
        <v>362</v>
      </c>
      <c r="V139" s="98">
        <v>1500</v>
      </c>
      <c r="W139" s="98" t="s">
        <v>352</v>
      </c>
      <c r="X139" s="99" t="s">
        <v>360</v>
      </c>
      <c r="Y139" s="98" t="s">
        <v>425</v>
      </c>
      <c r="Z139" s="98" t="s">
        <v>426</v>
      </c>
      <c r="AA139" s="99" t="s">
        <v>351</v>
      </c>
      <c r="AB139" s="133" t="s">
        <v>658</v>
      </c>
      <c r="AC139" s="134">
        <v>85776000</v>
      </c>
      <c r="AD139" s="98" t="s">
        <v>54</v>
      </c>
      <c r="AE139" s="99" t="s">
        <v>49</v>
      </c>
      <c r="AF139" s="99"/>
      <c r="AG139" s="99"/>
      <c r="AH139" s="855"/>
      <c r="AI139" s="855"/>
      <c r="AJ139" s="99"/>
      <c r="AK139" s="99"/>
      <c r="AL139" s="299"/>
      <c r="AM139" s="858"/>
      <c r="AN139" s="98" t="s">
        <v>269</v>
      </c>
      <c r="AO139" s="115" t="s">
        <v>734</v>
      </c>
      <c r="AP139" s="847"/>
      <c r="AQ139" s="847"/>
      <c r="AR139" s="861"/>
      <c r="AS139" s="847"/>
      <c r="AT139" s="847"/>
      <c r="AU139" s="847"/>
      <c r="AV139" s="847"/>
      <c r="AW139" s="3"/>
      <c r="AX139" s="3"/>
      <c r="AY139" s="3"/>
      <c r="AZ139" s="3"/>
      <c r="BA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row>
    <row r="140" spans="1:119" s="164" customFormat="1" ht="60.75" customHeight="1">
      <c r="A140" s="95"/>
      <c r="B140" s="95"/>
      <c r="C140" s="96"/>
      <c r="D140" s="95"/>
      <c r="E140" s="722" t="s">
        <v>776</v>
      </c>
      <c r="F140" s="723"/>
      <c r="G140" s="723"/>
      <c r="H140" s="723"/>
      <c r="I140" s="723"/>
      <c r="J140" s="723"/>
      <c r="K140" s="723"/>
      <c r="L140" s="723"/>
      <c r="M140" s="723"/>
      <c r="N140" s="723"/>
      <c r="O140" s="723"/>
      <c r="P140" s="723"/>
      <c r="Q140" s="724"/>
      <c r="R140" s="283">
        <f>AVERAGE(R137:R139)</f>
        <v>0</v>
      </c>
      <c r="S140" s="190"/>
      <c r="T140" s="190"/>
      <c r="U140" s="191"/>
      <c r="V140" s="98"/>
      <c r="W140" s="98"/>
      <c r="X140" s="99"/>
      <c r="Y140" s="98"/>
      <c r="Z140" s="98"/>
      <c r="AA140" s="99"/>
      <c r="AB140" s="133"/>
      <c r="AC140" s="134"/>
      <c r="AD140" s="98"/>
      <c r="AE140" s="99"/>
      <c r="AF140" s="99"/>
      <c r="AG140" s="99"/>
      <c r="AH140" s="233"/>
      <c r="AI140" s="234"/>
      <c r="AJ140" s="99"/>
      <c r="AK140" s="99"/>
      <c r="AL140" s="299"/>
      <c r="AM140" s="235"/>
      <c r="AN140" s="98"/>
      <c r="AO140" s="257" t="s">
        <v>767</v>
      </c>
      <c r="AP140" s="245">
        <f>SUM(AP137)</f>
        <v>385776000</v>
      </c>
      <c r="AQ140" s="245">
        <f t="shared" ref="AQ140:AT140" si="16">SUM(AQ137)</f>
        <v>0</v>
      </c>
      <c r="AR140" s="284">
        <f t="shared" si="16"/>
        <v>0</v>
      </c>
      <c r="AS140" s="245">
        <f t="shared" si="16"/>
        <v>0</v>
      </c>
      <c r="AT140" s="245">
        <f t="shared" si="16"/>
        <v>0</v>
      </c>
      <c r="AU140" s="285">
        <v>0</v>
      </c>
      <c r="AV140" s="285">
        <v>0</v>
      </c>
      <c r="AW140" s="3"/>
      <c r="AX140" s="3"/>
      <c r="AY140" s="3"/>
      <c r="AZ140" s="3"/>
      <c r="BA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row>
    <row r="141" spans="1:119" s="166" customFormat="1" ht="165">
      <c r="A141" s="100" t="s">
        <v>257</v>
      </c>
      <c r="B141" s="100" t="s">
        <v>228</v>
      </c>
      <c r="C141" s="101" t="s">
        <v>366</v>
      </c>
      <c r="D141" s="100" t="s">
        <v>227</v>
      </c>
      <c r="E141" s="102" t="s">
        <v>270</v>
      </c>
      <c r="F141" s="104">
        <v>2024130010149</v>
      </c>
      <c r="G141" s="102" t="s">
        <v>605</v>
      </c>
      <c r="H141" s="102" t="s">
        <v>606</v>
      </c>
      <c r="I141" s="102" t="s">
        <v>607</v>
      </c>
      <c r="J141" s="179">
        <v>0</v>
      </c>
      <c r="K141" s="210">
        <v>1</v>
      </c>
      <c r="L141" s="100" t="s">
        <v>659</v>
      </c>
      <c r="M141" s="103"/>
      <c r="N141" s="194" t="s">
        <v>642</v>
      </c>
      <c r="O141" s="194">
        <v>0</v>
      </c>
      <c r="P141" s="211">
        <v>1</v>
      </c>
      <c r="Q141" s="103">
        <v>0</v>
      </c>
      <c r="R141" s="283">
        <v>0</v>
      </c>
      <c r="S141" s="190">
        <v>45660</v>
      </c>
      <c r="T141" s="190">
        <v>46022</v>
      </c>
      <c r="U141" s="191">
        <f t="shared" ref="U141" si="17">+T141-S141</f>
        <v>362</v>
      </c>
      <c r="V141" s="103">
        <v>600</v>
      </c>
      <c r="W141" s="103" t="s">
        <v>353</v>
      </c>
      <c r="X141" s="103" t="s">
        <v>360</v>
      </c>
      <c r="Y141" s="194" t="s">
        <v>425</v>
      </c>
      <c r="Z141" s="194" t="s">
        <v>426</v>
      </c>
      <c r="AA141" s="103" t="s">
        <v>351</v>
      </c>
      <c r="AB141" s="128" t="s">
        <v>661</v>
      </c>
      <c r="AC141" s="132">
        <v>140000000</v>
      </c>
      <c r="AD141" s="194" t="s">
        <v>53</v>
      </c>
      <c r="AE141" s="103" t="s">
        <v>49</v>
      </c>
      <c r="AF141" s="103"/>
      <c r="AG141" s="103"/>
      <c r="AH141" s="849">
        <v>160740000</v>
      </c>
      <c r="AI141" s="169"/>
      <c r="AJ141" s="103"/>
      <c r="AK141" s="103"/>
      <c r="AL141" s="103"/>
      <c r="AM141" s="103" t="s">
        <v>653</v>
      </c>
      <c r="AN141" s="194" t="s">
        <v>270</v>
      </c>
      <c r="AO141" s="165" t="s">
        <v>735</v>
      </c>
      <c r="AP141" s="839">
        <v>160740000</v>
      </c>
      <c r="AQ141" s="839">
        <v>0</v>
      </c>
      <c r="AR141" s="851">
        <v>0</v>
      </c>
      <c r="AS141" s="839">
        <v>0</v>
      </c>
      <c r="AT141" s="839">
        <v>0</v>
      </c>
      <c r="AU141" s="841">
        <v>0</v>
      </c>
      <c r="AV141" s="843">
        <v>0</v>
      </c>
      <c r="AW141" s="3"/>
      <c r="AX141" s="3"/>
      <c r="AY141" s="3"/>
      <c r="AZ141" s="3"/>
      <c r="BA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row>
    <row r="142" spans="1:119" s="166" customFormat="1" ht="165">
      <c r="A142" s="100" t="s">
        <v>257</v>
      </c>
      <c r="B142" s="100" t="s">
        <v>228</v>
      </c>
      <c r="C142" s="101" t="s">
        <v>366</v>
      </c>
      <c r="D142" s="100" t="s">
        <v>227</v>
      </c>
      <c r="E142" s="102" t="s">
        <v>270</v>
      </c>
      <c r="F142" s="104">
        <v>2024130010149</v>
      </c>
      <c r="G142" s="102" t="s">
        <v>605</v>
      </c>
      <c r="H142" s="102" t="s">
        <v>606</v>
      </c>
      <c r="I142" s="102" t="s">
        <v>607</v>
      </c>
      <c r="J142" s="179">
        <v>0</v>
      </c>
      <c r="K142" s="210">
        <v>1</v>
      </c>
      <c r="L142" s="100" t="s">
        <v>660</v>
      </c>
      <c r="M142" s="103"/>
      <c r="N142" s="194" t="s">
        <v>642</v>
      </c>
      <c r="O142" s="194">
        <v>0</v>
      </c>
      <c r="P142" s="211">
        <v>1</v>
      </c>
      <c r="Q142" s="103">
        <v>0</v>
      </c>
      <c r="R142" s="283">
        <v>0</v>
      </c>
      <c r="S142" s="190">
        <v>45660</v>
      </c>
      <c r="T142" s="190">
        <v>46022</v>
      </c>
      <c r="U142" s="191">
        <f t="shared" si="15"/>
        <v>362</v>
      </c>
      <c r="V142" s="103">
        <v>600</v>
      </c>
      <c r="W142" s="103" t="s">
        <v>353</v>
      </c>
      <c r="X142" s="103" t="s">
        <v>360</v>
      </c>
      <c r="Y142" s="194" t="s">
        <v>425</v>
      </c>
      <c r="Z142" s="194" t="s">
        <v>426</v>
      </c>
      <c r="AA142" s="103" t="s">
        <v>351</v>
      </c>
      <c r="AB142" s="128" t="s">
        <v>661</v>
      </c>
      <c r="AC142" s="132">
        <v>20740000</v>
      </c>
      <c r="AD142" s="194" t="s">
        <v>53</v>
      </c>
      <c r="AE142" s="103" t="s">
        <v>49</v>
      </c>
      <c r="AF142" s="103"/>
      <c r="AG142" s="103"/>
      <c r="AH142" s="850"/>
      <c r="AI142" s="169"/>
      <c r="AJ142" s="103"/>
      <c r="AK142" s="103"/>
      <c r="AL142" s="103"/>
      <c r="AM142" s="103" t="s">
        <v>653</v>
      </c>
      <c r="AN142" s="194" t="s">
        <v>270</v>
      </c>
      <c r="AO142" s="165" t="s">
        <v>735</v>
      </c>
      <c r="AP142" s="840"/>
      <c r="AQ142" s="840"/>
      <c r="AR142" s="852"/>
      <c r="AS142" s="840"/>
      <c r="AT142" s="840"/>
      <c r="AU142" s="842"/>
      <c r="AV142" s="840"/>
      <c r="AW142" s="3"/>
      <c r="AX142" s="3"/>
      <c r="AY142" s="3"/>
      <c r="AZ142" s="3"/>
      <c r="BA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row>
    <row r="143" spans="1:119" ht="69.900000000000006" customHeight="1">
      <c r="E143" s="844" t="s">
        <v>777</v>
      </c>
      <c r="F143" s="844"/>
      <c r="G143" s="844"/>
      <c r="H143" s="844"/>
      <c r="I143" s="844"/>
      <c r="J143" s="844"/>
      <c r="K143" s="844"/>
      <c r="L143" s="844"/>
      <c r="M143" s="844"/>
      <c r="N143" s="844"/>
      <c r="O143" s="844"/>
      <c r="P143" s="844"/>
      <c r="Q143" s="844"/>
      <c r="R143" s="286">
        <f>SUM(R141:R142)</f>
        <v>0</v>
      </c>
      <c r="AO143" s="257" t="s">
        <v>767</v>
      </c>
      <c r="AP143" s="287">
        <f>SUM(AP141)</f>
        <v>160740000</v>
      </c>
      <c r="AQ143" s="287">
        <f t="shared" ref="AQ143:AT143" si="18">SUM(AQ141)</f>
        <v>0</v>
      </c>
      <c r="AR143" s="287">
        <f t="shared" si="18"/>
        <v>0</v>
      </c>
      <c r="AS143" s="287">
        <f t="shared" si="18"/>
        <v>0</v>
      </c>
      <c r="AT143" s="287">
        <f t="shared" si="18"/>
        <v>0</v>
      </c>
      <c r="AU143" s="288">
        <v>0</v>
      </c>
      <c r="AV143" s="288">
        <v>0</v>
      </c>
    </row>
    <row r="144" spans="1:119" ht="69.900000000000006" customHeight="1">
      <c r="E144" s="670" t="s">
        <v>778</v>
      </c>
      <c r="F144" s="671"/>
      <c r="G144" s="671"/>
      <c r="H144" s="671"/>
      <c r="I144" s="671"/>
      <c r="J144" s="671"/>
      <c r="K144" s="671"/>
      <c r="L144" s="671"/>
      <c r="M144" s="671"/>
      <c r="N144" s="671"/>
      <c r="O144" s="671"/>
      <c r="P144" s="671"/>
      <c r="Q144" s="672"/>
      <c r="R144" s="289">
        <f>AVERAGE(R39,R47,R60,R73,R85,R98,R115,R130,R136,R140,R143)</f>
        <v>0.14184416710353981</v>
      </c>
      <c r="AC144" s="212"/>
      <c r="AH144" s="212"/>
      <c r="AO144" s="206" t="s">
        <v>779</v>
      </c>
      <c r="AP144" s="287">
        <f>SUM(AP39,AP47,AP60,AP73,AP85,AP98,AP115,AP130,AP136,AP140,AP143)</f>
        <v>57682610982.709999</v>
      </c>
      <c r="AQ144" s="287">
        <f t="shared" ref="AQ144:AT144" si="19">SUM(AQ39,AQ47,AQ60,AQ73,AQ85,AQ98,AQ115,AQ130,AQ136,AQ140,AQ143)</f>
        <v>18623172864.240002</v>
      </c>
      <c r="AR144" s="290">
        <f>+AQ144/AP144</f>
        <v>0.32285592740977315</v>
      </c>
      <c r="AS144" s="287">
        <f t="shared" si="19"/>
        <v>6387170665</v>
      </c>
      <c r="AT144" s="287">
        <f t="shared" si="19"/>
        <v>6387170665</v>
      </c>
      <c r="AU144" s="291">
        <f>+AS144/AP144</f>
        <v>0.11072956920959272</v>
      </c>
      <c r="AV144" s="292">
        <f>+AT144/AP144</f>
        <v>0.11072956920959272</v>
      </c>
    </row>
  </sheetData>
  <mergeCells count="133">
    <mergeCell ref="AT141:AT142"/>
    <mergeCell ref="AU141:AU142"/>
    <mergeCell ref="AV141:AV142"/>
    <mergeCell ref="E143:Q143"/>
    <mergeCell ref="E144:Q144"/>
    <mergeCell ref="AS137:AS139"/>
    <mergeCell ref="AT137:AT139"/>
    <mergeCell ref="AU137:AU139"/>
    <mergeCell ref="AV137:AV139"/>
    <mergeCell ref="E140:Q140"/>
    <mergeCell ref="AH141:AH142"/>
    <mergeCell ref="AP141:AP142"/>
    <mergeCell ref="AQ141:AQ142"/>
    <mergeCell ref="AR141:AR142"/>
    <mergeCell ref="AS141:AS142"/>
    <mergeCell ref="AH137:AH139"/>
    <mergeCell ref="AI137:AI139"/>
    <mergeCell ref="AM137:AM139"/>
    <mergeCell ref="AP137:AP139"/>
    <mergeCell ref="AQ137:AQ139"/>
    <mergeCell ref="AR137:AR139"/>
    <mergeCell ref="AR131:AR135"/>
    <mergeCell ref="AS131:AS135"/>
    <mergeCell ref="AT131:AT135"/>
    <mergeCell ref="AU131:AU135"/>
    <mergeCell ref="AV131:AV135"/>
    <mergeCell ref="E136:Q136"/>
    <mergeCell ref="AS116:AS129"/>
    <mergeCell ref="AT116:AT129"/>
    <mergeCell ref="AU116:AU129"/>
    <mergeCell ref="AV116:AV129"/>
    <mergeCell ref="E130:Q130"/>
    <mergeCell ref="AH131:AH135"/>
    <mergeCell ref="AI131:AI135"/>
    <mergeCell ref="AM131:AM135"/>
    <mergeCell ref="AP131:AP135"/>
    <mergeCell ref="AQ131:AQ135"/>
    <mergeCell ref="AH116:AH129"/>
    <mergeCell ref="AI116:AI129"/>
    <mergeCell ref="AM116:AM129"/>
    <mergeCell ref="AP116:AP129"/>
    <mergeCell ref="AQ116:AQ129"/>
    <mergeCell ref="AR116:AR129"/>
    <mergeCell ref="AR99:AR114"/>
    <mergeCell ref="AS99:AS114"/>
    <mergeCell ref="AT99:AT114"/>
    <mergeCell ref="AU99:AU114"/>
    <mergeCell ref="AV99:AV114"/>
    <mergeCell ref="E115:Q115"/>
    <mergeCell ref="AS86:AS97"/>
    <mergeCell ref="AT86:AT97"/>
    <mergeCell ref="AU86:AU97"/>
    <mergeCell ref="AV86:AV97"/>
    <mergeCell ref="E98:Q98"/>
    <mergeCell ref="AH99:AH114"/>
    <mergeCell ref="AI99:AI114"/>
    <mergeCell ref="AM99:AM114"/>
    <mergeCell ref="AP99:AP114"/>
    <mergeCell ref="AQ99:AQ114"/>
    <mergeCell ref="AH86:AH97"/>
    <mergeCell ref="AI86:AI97"/>
    <mergeCell ref="AM86:AM97"/>
    <mergeCell ref="AP86:AP97"/>
    <mergeCell ref="AQ86:AQ97"/>
    <mergeCell ref="AR86:AR97"/>
    <mergeCell ref="AR74:AR84"/>
    <mergeCell ref="AS74:AS84"/>
    <mergeCell ref="AT74:AT84"/>
    <mergeCell ref="AU74:AU84"/>
    <mergeCell ref="AV74:AV84"/>
    <mergeCell ref="E85:Q85"/>
    <mergeCell ref="AS61:AS72"/>
    <mergeCell ref="AT61:AT72"/>
    <mergeCell ref="AU61:AU72"/>
    <mergeCell ref="AV61:AV72"/>
    <mergeCell ref="E73:Q73"/>
    <mergeCell ref="AH74:AH84"/>
    <mergeCell ref="AI74:AI84"/>
    <mergeCell ref="AM74:AM84"/>
    <mergeCell ref="AP74:AP84"/>
    <mergeCell ref="AQ74:AQ84"/>
    <mergeCell ref="AU48:AU59"/>
    <mergeCell ref="AV48:AV59"/>
    <mergeCell ref="E60:Q60"/>
    <mergeCell ref="AH61:AH72"/>
    <mergeCell ref="AI61:AI72"/>
    <mergeCell ref="AM61:AM72"/>
    <mergeCell ref="AP61:AP72"/>
    <mergeCell ref="AQ61:AQ72"/>
    <mergeCell ref="AR61:AR72"/>
    <mergeCell ref="E47:Q47"/>
    <mergeCell ref="AH48:AH59"/>
    <mergeCell ref="AI48:AI59"/>
    <mergeCell ref="AM48:AM59"/>
    <mergeCell ref="AP48:AP59"/>
    <mergeCell ref="AQ48:AQ59"/>
    <mergeCell ref="AR48:AR59"/>
    <mergeCell ref="AS48:AS59"/>
    <mergeCell ref="AT48:AT59"/>
    <mergeCell ref="AV9:AV38"/>
    <mergeCell ref="E39:Q39"/>
    <mergeCell ref="AH40:AH46"/>
    <mergeCell ref="AI40:AI46"/>
    <mergeCell ref="AM40:AM46"/>
    <mergeCell ref="AP40:AP46"/>
    <mergeCell ref="AQ40:AQ46"/>
    <mergeCell ref="AR40:AR46"/>
    <mergeCell ref="AS40:AS46"/>
    <mergeCell ref="AT40:AT46"/>
    <mergeCell ref="AP9:AP38"/>
    <mergeCell ref="AQ9:AQ38"/>
    <mergeCell ref="AR9:AR38"/>
    <mergeCell ref="AS9:AS38"/>
    <mergeCell ref="AT9:AT38"/>
    <mergeCell ref="AU9:AU38"/>
    <mergeCell ref="AU40:AU46"/>
    <mergeCell ref="AV40:AV46"/>
    <mergeCell ref="A5:AO5"/>
    <mergeCell ref="A6:Z7"/>
    <mergeCell ref="AA6:AF7"/>
    <mergeCell ref="AH6:AO7"/>
    <mergeCell ref="AH9:AH38"/>
    <mergeCell ref="AI9:AI38"/>
    <mergeCell ref="AM9:AM38"/>
    <mergeCell ref="A1:B4"/>
    <mergeCell ref="C1:AM1"/>
    <mergeCell ref="AN1:AO1"/>
    <mergeCell ref="C2:AM2"/>
    <mergeCell ref="AN2:AO2"/>
    <mergeCell ref="C3:AM3"/>
    <mergeCell ref="AN3:AO3"/>
    <mergeCell ref="C4:AM4"/>
    <mergeCell ref="AN4:AO4"/>
  </mergeCells>
  <dataValidations count="2">
    <dataValidation type="list" allowBlank="1" showInputMessage="1" showErrorMessage="1" sqref="M12:M26 M9:M10 M131:M135 M137:M139 M141:M142" xr:uid="{00000000-0002-0000-0800-000000000000}">
      <formula1>$AZ$9:$AZ$14</formula1>
    </dataValidation>
    <dataValidation type="list" allowBlank="1" showInputMessage="1" showErrorMessage="1" sqref="L74:M74 M99:M109 M27:M38 M116:M129 L77:M77 L83:L84 M75:M76 M61:M72 M40:M46 M48:M59 M78:M84 M86:M97 M111:M114 M145:M230" xr:uid="{00000000-0002-0000-0800-000001000000}">
      <formula1>$AY$9:$AY$56</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1. ESTRATEGICO DIC  2025</vt:lpstr>
      <vt:lpstr>Hoja1</vt:lpstr>
      <vt:lpstr>2.GESTIÓN-MIPG</vt:lpstr>
      <vt:lpstr>3.INVERSION</vt:lpstr>
      <vt:lpstr>CONTROL DE CAMBIOS</vt:lpstr>
      <vt:lpstr>ANEXO 1</vt:lpstr>
      <vt:lpstr>2. GESTIÓN-MIPG</vt:lpstr>
      <vt:lpstr>3.INVERSIÓN</vt:lpstr>
      <vt:lpstr>CONTROL DE CAMBIOS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Alcira Ortega Martínez</cp:lastModifiedBy>
  <dcterms:created xsi:type="dcterms:W3CDTF">2024-07-04T17:50:33Z</dcterms:created>
  <dcterms:modified xsi:type="dcterms:W3CDTF">2026-01-26T14:05:33Z</dcterms:modified>
</cp:coreProperties>
</file>