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IDER\2024\Junio\"/>
    </mc:Choice>
  </mc:AlternateContent>
  <xr:revisionPtr revIDLastSave="0" documentId="8_{2442DA44-959C-4881-A542-616460489459}" xr6:coauthVersionLast="36" xr6:coauthVersionMax="36" xr10:uidLastSave="{00000000-0000-0000-0000-000000000000}"/>
  <bookViews>
    <workbookView xWindow="0" yWindow="0" windowWidth="20490" windowHeight="8940" xr2:uid="{00000000-000D-0000-FFFF-FFFF00000000}"/>
  </bookViews>
  <sheets>
    <sheet name="ejecucion gastos " sheetId="3" r:id="rId1"/>
    <sheet name="Ejecucion ingresos" sheetId="4" r:id="rId2"/>
  </sheets>
  <definedNames>
    <definedName name="_xlnm._FilterDatabase" localSheetId="0" hidden="1">'ejecucion gastos '!$B$2:$N$163</definedName>
    <definedName name="_xlnm.Print_Area" localSheetId="0">'ejecucion gastos '!$B$3:$N$134</definedName>
    <definedName name="_xlnm.Print_Titles" localSheetId="0">'ejecucion gastos '!$1:$2</definedName>
  </definedNames>
  <calcPr calcId="191029"/>
</workbook>
</file>

<file path=xl/calcChain.xml><?xml version="1.0" encoding="utf-8"?>
<calcChain xmlns="http://schemas.openxmlformats.org/spreadsheetml/2006/main">
  <c r="K23" i="4" l="1"/>
  <c r="O86" i="3"/>
  <c r="T19" i="4" l="1"/>
  <c r="T20" i="4"/>
  <c r="U20" i="4" l="1"/>
  <c r="M43" i="4"/>
  <c r="Q43" i="4"/>
  <c r="C65" i="4"/>
  <c r="C64" i="4"/>
  <c r="C63" i="4"/>
  <c r="T59" i="4" l="1"/>
  <c r="U73" i="4" l="1"/>
  <c r="H73" i="4"/>
  <c r="U72" i="4"/>
  <c r="H72" i="4"/>
  <c r="V72" i="4" s="1"/>
  <c r="U71" i="4"/>
  <c r="H71" i="4"/>
  <c r="V71" i="4" s="1"/>
  <c r="U70" i="4"/>
  <c r="H70" i="4"/>
  <c r="U69" i="4"/>
  <c r="H69" i="4"/>
  <c r="T68" i="4"/>
  <c r="S68" i="4"/>
  <c r="R68" i="4"/>
  <c r="Q68" i="4"/>
  <c r="P68" i="4"/>
  <c r="O68" i="4"/>
  <c r="N68" i="4"/>
  <c r="M68" i="4"/>
  <c r="L68" i="4"/>
  <c r="K68" i="4"/>
  <c r="J68" i="4"/>
  <c r="I68" i="4"/>
  <c r="G68" i="4"/>
  <c r="F68" i="4"/>
  <c r="F58" i="4" s="1"/>
  <c r="E68" i="4"/>
  <c r="D68" i="4"/>
  <c r="C68" i="4"/>
  <c r="B68" i="4"/>
  <c r="U65" i="4"/>
  <c r="H65" i="4"/>
  <c r="U64" i="4"/>
  <c r="H64" i="4"/>
  <c r="U63" i="4"/>
  <c r="H63" i="4"/>
  <c r="U62" i="4"/>
  <c r="H62" i="4"/>
  <c r="T61" i="4"/>
  <c r="T58" i="4" s="1"/>
  <c r="S61" i="4"/>
  <c r="S58" i="4" s="1"/>
  <c r="R61" i="4"/>
  <c r="R58" i="4" s="1"/>
  <c r="Q61" i="4"/>
  <c r="Q58" i="4" s="1"/>
  <c r="P61" i="4"/>
  <c r="O61" i="4"/>
  <c r="N61" i="4"/>
  <c r="M61" i="4"/>
  <c r="L61" i="4"/>
  <c r="K61" i="4"/>
  <c r="J61" i="4"/>
  <c r="I61" i="4"/>
  <c r="I58" i="4" s="1"/>
  <c r="G61" i="4"/>
  <c r="F61" i="4"/>
  <c r="E61" i="4"/>
  <c r="D61" i="4"/>
  <c r="C61" i="4"/>
  <c r="C58" i="4" s="1"/>
  <c r="B61" i="4"/>
  <c r="B58" i="4" s="1"/>
  <c r="U60" i="4"/>
  <c r="H60" i="4"/>
  <c r="P59" i="4"/>
  <c r="O59" i="4"/>
  <c r="N59" i="4"/>
  <c r="N58" i="4" s="1"/>
  <c r="M59" i="4"/>
  <c r="M58" i="4" s="1"/>
  <c r="L59" i="4"/>
  <c r="L58" i="4" s="1"/>
  <c r="K59" i="4"/>
  <c r="K58" i="4" s="1"/>
  <c r="J59" i="4"/>
  <c r="H59" i="4"/>
  <c r="P58" i="4"/>
  <c r="O58" i="4"/>
  <c r="E58" i="4"/>
  <c r="U57" i="4"/>
  <c r="H57" i="4"/>
  <c r="V57" i="4" s="1"/>
  <c r="U56" i="4"/>
  <c r="H56" i="4"/>
  <c r="H55" i="4" s="1"/>
  <c r="V55" i="4" s="1"/>
  <c r="T55" i="4"/>
  <c r="S55" i="4"/>
  <c r="R55" i="4"/>
  <c r="Q55" i="4"/>
  <c r="P55" i="4"/>
  <c r="O55" i="4"/>
  <c r="N55" i="4"/>
  <c r="M55" i="4"/>
  <c r="L55" i="4"/>
  <c r="K55" i="4"/>
  <c r="J55" i="4"/>
  <c r="I55" i="4"/>
  <c r="G55" i="4"/>
  <c r="F55" i="4"/>
  <c r="E55" i="4"/>
  <c r="D55" i="4"/>
  <c r="C55" i="4"/>
  <c r="B55" i="4"/>
  <c r="U54" i="4"/>
  <c r="U53" i="4" s="1"/>
  <c r="H54" i="4"/>
  <c r="T53" i="4"/>
  <c r="S53" i="4"/>
  <c r="R53" i="4"/>
  <c r="Q53" i="4"/>
  <c r="P53" i="4"/>
  <c r="O53" i="4"/>
  <c r="N53" i="4"/>
  <c r="M53" i="4"/>
  <c r="L53" i="4"/>
  <c r="K53" i="4"/>
  <c r="J53" i="4"/>
  <c r="I53" i="4"/>
  <c r="G53" i="4"/>
  <c r="F53" i="4"/>
  <c r="E53" i="4"/>
  <c r="D53" i="4"/>
  <c r="C53" i="4"/>
  <c r="B53" i="4"/>
  <c r="U52" i="4"/>
  <c r="U51" i="4" s="1"/>
  <c r="H52" i="4"/>
  <c r="H51" i="4" s="1"/>
  <c r="T51" i="4"/>
  <c r="S51" i="4"/>
  <c r="R51" i="4"/>
  <c r="Q51" i="4"/>
  <c r="Q50" i="4" s="1"/>
  <c r="P51" i="4"/>
  <c r="O51" i="4"/>
  <c r="N51" i="4"/>
  <c r="M51" i="4"/>
  <c r="M50" i="4" s="1"/>
  <c r="L51" i="4"/>
  <c r="K51" i="4"/>
  <c r="J51" i="4"/>
  <c r="I51" i="4"/>
  <c r="G51" i="4"/>
  <c r="F51" i="4"/>
  <c r="E51" i="4"/>
  <c r="D51" i="4"/>
  <c r="C51" i="4"/>
  <c r="B51" i="4"/>
  <c r="B50" i="4" s="1"/>
  <c r="U49" i="4"/>
  <c r="H49" i="4"/>
  <c r="U48" i="4"/>
  <c r="H48" i="4"/>
  <c r="V48" i="4" s="1"/>
  <c r="U47" i="4"/>
  <c r="H47" i="4"/>
  <c r="V47" i="4" s="1"/>
  <c r="T46" i="4"/>
  <c r="S46" i="4"/>
  <c r="R46" i="4"/>
  <c r="Q46" i="4"/>
  <c r="P46" i="4"/>
  <c r="O46" i="4"/>
  <c r="N46" i="4"/>
  <c r="M46" i="4"/>
  <c r="L46" i="4"/>
  <c r="K46" i="4"/>
  <c r="J46" i="4"/>
  <c r="I46" i="4"/>
  <c r="G46" i="4"/>
  <c r="F46" i="4"/>
  <c r="E46" i="4"/>
  <c r="D46" i="4"/>
  <c r="C46" i="4"/>
  <c r="B46" i="4"/>
  <c r="U45" i="4"/>
  <c r="H45" i="4"/>
  <c r="V45" i="4" s="1"/>
  <c r="U44" i="4"/>
  <c r="H44" i="4"/>
  <c r="U43" i="4"/>
  <c r="H43" i="4"/>
  <c r="T42" i="4"/>
  <c r="S42" i="4"/>
  <c r="R42" i="4"/>
  <c r="Q42" i="4"/>
  <c r="P42" i="4"/>
  <c r="O42" i="4"/>
  <c r="N42" i="4"/>
  <c r="M42" i="4"/>
  <c r="L42" i="4"/>
  <c r="K42" i="4"/>
  <c r="J42" i="4"/>
  <c r="I42" i="4"/>
  <c r="G42" i="4"/>
  <c r="F42" i="4"/>
  <c r="E42" i="4"/>
  <c r="D42" i="4"/>
  <c r="C42" i="4"/>
  <c r="B42" i="4"/>
  <c r="U41" i="4"/>
  <c r="H41" i="4"/>
  <c r="V41" i="4" s="1"/>
  <c r="U40" i="4"/>
  <c r="H40" i="4"/>
  <c r="U39" i="4"/>
  <c r="H39" i="4"/>
  <c r="T38" i="4"/>
  <c r="S38" i="4"/>
  <c r="R38" i="4"/>
  <c r="Q38" i="4"/>
  <c r="P38" i="4"/>
  <c r="O38" i="4"/>
  <c r="N38" i="4"/>
  <c r="M38" i="4"/>
  <c r="L38" i="4"/>
  <c r="K38" i="4"/>
  <c r="J38" i="4"/>
  <c r="I38" i="4"/>
  <c r="G38" i="4"/>
  <c r="F38" i="4"/>
  <c r="E38" i="4"/>
  <c r="D38" i="4"/>
  <c r="C38" i="4"/>
  <c r="B38" i="4"/>
  <c r="U37" i="4"/>
  <c r="H37" i="4"/>
  <c r="V37" i="4" s="1"/>
  <c r="U36" i="4"/>
  <c r="H36" i="4"/>
  <c r="U35" i="4"/>
  <c r="H35" i="4"/>
  <c r="T34" i="4"/>
  <c r="S34" i="4"/>
  <c r="R34" i="4"/>
  <c r="Q34" i="4"/>
  <c r="P34" i="4"/>
  <c r="O34" i="4"/>
  <c r="N34" i="4"/>
  <c r="M34" i="4"/>
  <c r="L34" i="4"/>
  <c r="K34" i="4"/>
  <c r="J34" i="4"/>
  <c r="I34" i="4"/>
  <c r="G34" i="4"/>
  <c r="F34" i="4"/>
  <c r="E34" i="4"/>
  <c r="D34" i="4"/>
  <c r="C34" i="4"/>
  <c r="B34" i="4"/>
  <c r="U33" i="4"/>
  <c r="H33" i="4"/>
  <c r="U32" i="4"/>
  <c r="H32" i="4"/>
  <c r="U31" i="4"/>
  <c r="H31" i="4"/>
  <c r="T30" i="4"/>
  <c r="S30" i="4"/>
  <c r="R30" i="4"/>
  <c r="Q30" i="4"/>
  <c r="P30" i="4"/>
  <c r="O30" i="4"/>
  <c r="N30" i="4"/>
  <c r="M30" i="4"/>
  <c r="L30" i="4"/>
  <c r="K30" i="4"/>
  <c r="J30" i="4"/>
  <c r="I30" i="4"/>
  <c r="G30" i="4"/>
  <c r="F30" i="4"/>
  <c r="E30" i="4"/>
  <c r="D30" i="4"/>
  <c r="C30" i="4"/>
  <c r="B30" i="4"/>
  <c r="U29" i="4"/>
  <c r="H29" i="4"/>
  <c r="U28" i="4"/>
  <c r="H28" i="4"/>
  <c r="V28" i="4" s="1"/>
  <c r="U27" i="4"/>
  <c r="H27" i="4"/>
  <c r="V27" i="4" s="1"/>
  <c r="T26" i="4"/>
  <c r="S26" i="4"/>
  <c r="R26" i="4"/>
  <c r="Q26" i="4"/>
  <c r="P26" i="4"/>
  <c r="O26" i="4"/>
  <c r="N26" i="4"/>
  <c r="M26" i="4"/>
  <c r="L26" i="4"/>
  <c r="K26" i="4"/>
  <c r="J26" i="4"/>
  <c r="G26" i="4"/>
  <c r="F26" i="4"/>
  <c r="E26" i="4"/>
  <c r="D26" i="4"/>
  <c r="C26" i="4"/>
  <c r="B26" i="4"/>
  <c r="U25" i="4"/>
  <c r="H25" i="4"/>
  <c r="V25" i="4" s="1"/>
  <c r="U24" i="4"/>
  <c r="H24" i="4"/>
  <c r="V24" i="4" s="1"/>
  <c r="H23" i="4"/>
  <c r="T22" i="4"/>
  <c r="S22" i="4"/>
  <c r="R22" i="4"/>
  <c r="Q22" i="4"/>
  <c r="P22" i="4"/>
  <c r="O22" i="4"/>
  <c r="N22" i="4"/>
  <c r="M22" i="4"/>
  <c r="L22" i="4"/>
  <c r="J22" i="4"/>
  <c r="I22" i="4"/>
  <c r="G22" i="4"/>
  <c r="F22" i="4"/>
  <c r="E22" i="4"/>
  <c r="D22" i="4"/>
  <c r="C22" i="4"/>
  <c r="B22" i="4"/>
  <c r="U21" i="4"/>
  <c r="H21" i="4"/>
  <c r="V21" i="4" s="1"/>
  <c r="C20" i="4"/>
  <c r="H20" i="4" s="1"/>
  <c r="Q19" i="4"/>
  <c r="H19" i="4"/>
  <c r="T18" i="4"/>
  <c r="S18" i="4"/>
  <c r="R18" i="4"/>
  <c r="P18" i="4"/>
  <c r="O18" i="4"/>
  <c r="N18" i="4"/>
  <c r="M18" i="4"/>
  <c r="L18" i="4"/>
  <c r="K18" i="4"/>
  <c r="J18" i="4"/>
  <c r="I18" i="4"/>
  <c r="G18" i="4"/>
  <c r="F18" i="4"/>
  <c r="E18" i="4"/>
  <c r="D18" i="4"/>
  <c r="B18" i="4"/>
  <c r="U17" i="4"/>
  <c r="H17" i="4"/>
  <c r="V17" i="4" s="1"/>
  <c r="U16" i="4"/>
  <c r="H16" i="4"/>
  <c r="V16" i="4" s="1"/>
  <c r="U15" i="4"/>
  <c r="H15" i="4"/>
  <c r="T14" i="4"/>
  <c r="S14" i="4"/>
  <c r="R14" i="4"/>
  <c r="Q14" i="4"/>
  <c r="P14" i="4"/>
  <c r="O14" i="4"/>
  <c r="N14" i="4"/>
  <c r="M14" i="4"/>
  <c r="L14" i="4"/>
  <c r="K14" i="4"/>
  <c r="J14" i="4"/>
  <c r="I14" i="4"/>
  <c r="G14" i="4"/>
  <c r="F14" i="4"/>
  <c r="E14" i="4"/>
  <c r="D14" i="4"/>
  <c r="C14" i="4"/>
  <c r="B14" i="4"/>
  <c r="C18" i="4" l="1"/>
  <c r="K50" i="4"/>
  <c r="O50" i="4"/>
  <c r="S50" i="4"/>
  <c r="S12" i="4" s="1"/>
  <c r="S10" i="4" s="1"/>
  <c r="S8" i="4" s="1"/>
  <c r="V52" i="4"/>
  <c r="D58" i="4"/>
  <c r="H30" i="4"/>
  <c r="C50" i="4"/>
  <c r="C12" i="4" s="1"/>
  <c r="C10" i="4" s="1"/>
  <c r="C8" i="4" s="1"/>
  <c r="G50" i="4"/>
  <c r="L50" i="4"/>
  <c r="L12" i="4" s="1"/>
  <c r="L10" i="4" s="1"/>
  <c r="L8" i="4" s="1"/>
  <c r="G58" i="4"/>
  <c r="I50" i="4"/>
  <c r="V54" i="4"/>
  <c r="V36" i="4"/>
  <c r="U38" i="4"/>
  <c r="U46" i="4"/>
  <c r="D50" i="4"/>
  <c r="T50" i="4"/>
  <c r="P50" i="4"/>
  <c r="P12" i="4" s="1"/>
  <c r="P10" i="4" s="1"/>
  <c r="P8" i="4" s="1"/>
  <c r="U55" i="4"/>
  <c r="R50" i="4"/>
  <c r="R12" i="4" s="1"/>
  <c r="R10" i="4" s="1"/>
  <c r="R8" i="4" s="1"/>
  <c r="J58" i="4"/>
  <c r="F50" i="4"/>
  <c r="N50" i="4"/>
  <c r="U61" i="4"/>
  <c r="E50" i="4"/>
  <c r="V39" i="4"/>
  <c r="H42" i="4"/>
  <c r="H53" i="4"/>
  <c r="J50" i="4"/>
  <c r="J12" i="4" s="1"/>
  <c r="J10" i="4" s="1"/>
  <c r="J8" i="4" s="1"/>
  <c r="V60" i="4"/>
  <c r="V64" i="4"/>
  <c r="V70" i="4"/>
  <c r="H61" i="4"/>
  <c r="V61" i="4" s="1"/>
  <c r="V51" i="4"/>
  <c r="H50" i="4"/>
  <c r="D12" i="4"/>
  <c r="D10" i="4" s="1"/>
  <c r="D8" i="4" s="1"/>
  <c r="B12" i="4"/>
  <c r="B10" i="4" s="1"/>
  <c r="B8" i="4" s="1"/>
  <c r="I12" i="4"/>
  <c r="I10" i="4" s="1"/>
  <c r="I8" i="4" s="1"/>
  <c r="O12" i="4"/>
  <c r="O10" i="4" s="1"/>
  <c r="O8" i="4" s="1"/>
  <c r="H68" i="4"/>
  <c r="N12" i="4"/>
  <c r="N10" i="4" s="1"/>
  <c r="N8" i="4" s="1"/>
  <c r="M12" i="4"/>
  <c r="M10" i="4" s="1"/>
  <c r="M8" i="4" s="1"/>
  <c r="H46" i="4"/>
  <c r="U68" i="4"/>
  <c r="F12" i="4"/>
  <c r="F10" i="4" s="1"/>
  <c r="F8" i="4" s="1"/>
  <c r="U30" i="4"/>
  <c r="V30" i="4" s="1"/>
  <c r="E12" i="4"/>
  <c r="E10" i="4" s="1"/>
  <c r="E8" i="4" s="1"/>
  <c r="H14" i="4"/>
  <c r="U26" i="4"/>
  <c r="U14" i="4"/>
  <c r="V15" i="4"/>
  <c r="U42" i="4"/>
  <c r="V44" i="4"/>
  <c r="U34" i="4"/>
  <c r="W64" i="4" s="1"/>
  <c r="V35" i="4"/>
  <c r="T12" i="4"/>
  <c r="T10" i="4" s="1"/>
  <c r="T8" i="4" s="1"/>
  <c r="U50" i="4"/>
  <c r="G12" i="4"/>
  <c r="G10" i="4" s="1"/>
  <c r="G8" i="4" s="1"/>
  <c r="V20" i="4"/>
  <c r="H26" i="4"/>
  <c r="V31" i="4"/>
  <c r="H38" i="4"/>
  <c r="V40" i="4"/>
  <c r="V49" i="4"/>
  <c r="V69" i="4"/>
  <c r="H18" i="4"/>
  <c r="H22" i="4"/>
  <c r="V33" i="4"/>
  <c r="V43" i="4"/>
  <c r="V46" i="4"/>
  <c r="V63" i="4"/>
  <c r="Q18" i="4"/>
  <c r="Q12" i="4" s="1"/>
  <c r="Q10" i="4" s="1"/>
  <c r="Q8" i="4" s="1"/>
  <c r="H34" i="4"/>
  <c r="V53" i="4"/>
  <c r="U59" i="4"/>
  <c r="V56" i="4"/>
  <c r="U19" i="4"/>
  <c r="U18" i="4" s="1"/>
  <c r="K22" i="4"/>
  <c r="K12" i="4" s="1"/>
  <c r="K10" i="4" s="1"/>
  <c r="K8" i="4" s="1"/>
  <c r="U23" i="4"/>
  <c r="V29" i="4"/>
  <c r="V32" i="4"/>
  <c r="V62" i="4"/>
  <c r="V65" i="4"/>
  <c r="V73" i="4"/>
  <c r="V14" i="4" l="1"/>
  <c r="V68" i="4"/>
  <c r="U22" i="4"/>
  <c r="U12" i="4" s="1"/>
  <c r="U58" i="4"/>
  <c r="V42" i="4"/>
  <c r="V50" i="4"/>
  <c r="H58" i="4"/>
  <c r="V19" i="4"/>
  <c r="V23" i="4"/>
  <c r="H12" i="4"/>
  <c r="H10" i="4" s="1"/>
  <c r="V18" i="4"/>
  <c r="V34" i="4"/>
  <c r="V59" i="4"/>
  <c r="V38" i="4"/>
  <c r="V26" i="4"/>
  <c r="V22" i="4" l="1"/>
  <c r="V58" i="4"/>
  <c r="H8" i="4"/>
  <c r="V12" i="4"/>
  <c r="U10" i="4"/>
  <c r="V10" i="4" l="1"/>
  <c r="U8" i="4"/>
  <c r="V8" i="4" s="1"/>
  <c r="K9" i="3" l="1"/>
  <c r="N9" i="3" s="1"/>
  <c r="K10" i="3"/>
  <c r="N10" i="3" s="1"/>
  <c r="K11" i="3"/>
  <c r="N11" i="3" s="1"/>
  <c r="K12" i="3"/>
  <c r="N12" i="3" s="1"/>
  <c r="K13" i="3"/>
  <c r="N13" i="3" s="1"/>
  <c r="K87" i="3"/>
  <c r="N87" i="3" s="1"/>
  <c r="L14" i="3"/>
  <c r="M87" i="3" l="1"/>
  <c r="L163" i="3"/>
  <c r="J163" i="3"/>
  <c r="J166" i="3" s="1"/>
  <c r="I163" i="3"/>
  <c r="H163" i="3"/>
  <c r="G163" i="3"/>
  <c r="F163" i="3"/>
  <c r="K161" i="3"/>
  <c r="N161" i="3" s="1"/>
  <c r="K160" i="3"/>
  <c r="K159" i="3"/>
  <c r="N159" i="3" s="1"/>
  <c r="K158" i="3"/>
  <c r="N158" i="3" s="1"/>
  <c r="K157" i="3"/>
  <c r="N157" i="3" s="1"/>
  <c r="K156" i="3"/>
  <c r="N156" i="3" s="1"/>
  <c r="K155" i="3"/>
  <c r="K154" i="3"/>
  <c r="N154" i="3" s="1"/>
  <c r="K153" i="3"/>
  <c r="N153" i="3" s="1"/>
  <c r="K152" i="3"/>
  <c r="K151" i="3"/>
  <c r="N151" i="3" s="1"/>
  <c r="K150" i="3"/>
  <c r="N150" i="3" s="1"/>
  <c r="K149" i="3"/>
  <c r="N149" i="3" s="1"/>
  <c r="K148" i="3"/>
  <c r="N148" i="3" s="1"/>
  <c r="K147" i="3"/>
  <c r="K146" i="3"/>
  <c r="N146" i="3" s="1"/>
  <c r="K145" i="3"/>
  <c r="K144" i="3"/>
  <c r="K143" i="3"/>
  <c r="N143" i="3" s="1"/>
  <c r="K142" i="3"/>
  <c r="N142" i="3" s="1"/>
  <c r="K141" i="3"/>
  <c r="N141" i="3" s="1"/>
  <c r="K140" i="3"/>
  <c r="N140" i="3" s="1"/>
  <c r="K139" i="3"/>
  <c r="N139" i="3" s="1"/>
  <c r="K138" i="3"/>
  <c r="M147" i="3" l="1"/>
  <c r="N147" i="3"/>
  <c r="M155" i="3"/>
  <c r="N155" i="3"/>
  <c r="M138" i="3"/>
  <c r="N138" i="3"/>
  <c r="M145" i="3"/>
  <c r="N145" i="3"/>
  <c r="M144" i="3"/>
  <c r="N144" i="3"/>
  <c r="M152" i="3"/>
  <c r="N152" i="3"/>
  <c r="M160" i="3"/>
  <c r="N160" i="3"/>
  <c r="M159" i="3"/>
  <c r="M146" i="3"/>
  <c r="M154" i="3"/>
  <c r="M148" i="3"/>
  <c r="M139" i="3"/>
  <c r="M140" i="3"/>
  <c r="M142" i="3"/>
  <c r="M150" i="3"/>
  <c r="M158" i="3"/>
  <c r="K163" i="3"/>
  <c r="M153" i="3"/>
  <c r="M161" i="3"/>
  <c r="M156" i="3"/>
  <c r="M143" i="3"/>
  <c r="M151" i="3"/>
  <c r="M141" i="3"/>
  <c r="M149" i="3"/>
  <c r="M157" i="3"/>
  <c r="N163" i="3" l="1"/>
  <c r="M163" i="3"/>
  <c r="K134" i="3" l="1"/>
  <c r="N134" i="3" s="1"/>
  <c r="L133" i="3"/>
  <c r="L132" i="3" s="1"/>
  <c r="J133" i="3"/>
  <c r="J132" i="3" s="1"/>
  <c r="I133" i="3"/>
  <c r="I132" i="3" s="1"/>
  <c r="H133" i="3"/>
  <c r="H132" i="3" s="1"/>
  <c r="G133" i="3"/>
  <c r="G132" i="3" s="1"/>
  <c r="F133" i="3"/>
  <c r="F132" i="3" s="1"/>
  <c r="K131" i="3"/>
  <c r="N131" i="3" s="1"/>
  <c r="K130" i="3"/>
  <c r="N130" i="3" s="1"/>
  <c r="K129" i="3"/>
  <c r="K128" i="3"/>
  <c r="N128" i="3" s="1"/>
  <c r="K127" i="3"/>
  <c r="L126" i="3"/>
  <c r="J126" i="3"/>
  <c r="I126" i="3"/>
  <c r="H126" i="3"/>
  <c r="G126" i="3"/>
  <c r="F126" i="3"/>
  <c r="K125" i="3"/>
  <c r="N125" i="3" s="1"/>
  <c r="K124" i="3"/>
  <c r="N124" i="3" s="1"/>
  <c r="K123" i="3"/>
  <c r="K122" i="3"/>
  <c r="N122" i="3" s="1"/>
  <c r="K121" i="3"/>
  <c r="K120" i="3"/>
  <c r="N120" i="3" s="1"/>
  <c r="K119" i="3"/>
  <c r="K118" i="3"/>
  <c r="K117" i="3"/>
  <c r="N117" i="3" s="1"/>
  <c r="K116" i="3"/>
  <c r="N116" i="3" s="1"/>
  <c r="L115" i="3"/>
  <c r="J115" i="3"/>
  <c r="I115" i="3"/>
  <c r="H115" i="3"/>
  <c r="G115" i="3"/>
  <c r="G114" i="3" s="1"/>
  <c r="G113" i="3" s="1"/>
  <c r="F115" i="3"/>
  <c r="F114" i="3" s="1"/>
  <c r="F113" i="3" s="1"/>
  <c r="K112" i="3"/>
  <c r="N112" i="3" s="1"/>
  <c r="K111" i="3"/>
  <c r="N111" i="3" s="1"/>
  <c r="K110" i="3"/>
  <c r="N110" i="3" s="1"/>
  <c r="L109" i="3"/>
  <c r="J109" i="3"/>
  <c r="I109" i="3"/>
  <c r="H109" i="3"/>
  <c r="G109" i="3"/>
  <c r="F109" i="3"/>
  <c r="K108" i="3"/>
  <c r="N108" i="3" s="1"/>
  <c r="K107" i="3"/>
  <c r="N107" i="3" s="1"/>
  <c r="K106" i="3"/>
  <c r="N106" i="3" s="1"/>
  <c r="K105" i="3"/>
  <c r="N105" i="3" s="1"/>
  <c r="L104" i="3"/>
  <c r="J104" i="3"/>
  <c r="I104" i="3"/>
  <c r="H104" i="3"/>
  <c r="G104" i="3"/>
  <c r="F104" i="3"/>
  <c r="K103" i="3"/>
  <c r="K102" i="3"/>
  <c r="L101" i="3"/>
  <c r="J101" i="3"/>
  <c r="I101" i="3"/>
  <c r="H101" i="3"/>
  <c r="G101" i="3"/>
  <c r="F101" i="3"/>
  <c r="K100" i="3"/>
  <c r="K99" i="3"/>
  <c r="N99" i="3" s="1"/>
  <c r="K98" i="3"/>
  <c r="N98" i="3" s="1"/>
  <c r="L97" i="3"/>
  <c r="J97" i="3"/>
  <c r="I97" i="3"/>
  <c r="H97" i="3"/>
  <c r="G97" i="3"/>
  <c r="F97" i="3"/>
  <c r="K96" i="3"/>
  <c r="K95" i="3"/>
  <c r="N95" i="3" s="1"/>
  <c r="K94" i="3"/>
  <c r="N94" i="3" s="1"/>
  <c r="K93" i="3"/>
  <c r="N93" i="3" s="1"/>
  <c r="K92" i="3"/>
  <c r="L91" i="3"/>
  <c r="J91" i="3"/>
  <c r="I91" i="3"/>
  <c r="H91" i="3"/>
  <c r="G91" i="3"/>
  <c r="F91" i="3"/>
  <c r="K90" i="3"/>
  <c r="N90" i="3" s="1"/>
  <c r="K89" i="3"/>
  <c r="K88" i="3"/>
  <c r="N88" i="3" s="1"/>
  <c r="K86" i="3"/>
  <c r="N86" i="3" s="1"/>
  <c r="K85" i="3"/>
  <c r="K84" i="3"/>
  <c r="N84" i="3" s="1"/>
  <c r="K83" i="3"/>
  <c r="N83" i="3" s="1"/>
  <c r="K82" i="3"/>
  <c r="K81" i="3"/>
  <c r="N81" i="3" s="1"/>
  <c r="K80" i="3"/>
  <c r="K79" i="3"/>
  <c r="N79" i="3" s="1"/>
  <c r="K78" i="3"/>
  <c r="K77" i="3"/>
  <c r="N77" i="3" s="1"/>
  <c r="L76" i="3"/>
  <c r="J76" i="3"/>
  <c r="I76" i="3"/>
  <c r="H76" i="3"/>
  <c r="G76" i="3"/>
  <c r="F76" i="3"/>
  <c r="K67" i="3"/>
  <c r="K66" i="3"/>
  <c r="L65" i="3"/>
  <c r="L64" i="3" s="1"/>
  <c r="J65" i="3"/>
  <c r="J64" i="3" s="1"/>
  <c r="I65" i="3"/>
  <c r="I64" i="3" s="1"/>
  <c r="H65" i="3"/>
  <c r="H64" i="3" s="1"/>
  <c r="G65" i="3"/>
  <c r="G64" i="3" s="1"/>
  <c r="F65" i="3"/>
  <c r="F64" i="3" s="1"/>
  <c r="K63" i="3"/>
  <c r="L62" i="3"/>
  <c r="J62" i="3"/>
  <c r="J61" i="3" s="1"/>
  <c r="I62" i="3"/>
  <c r="I61" i="3" s="1"/>
  <c r="H62" i="3"/>
  <c r="H61" i="3" s="1"/>
  <c r="G62" i="3"/>
  <c r="G61" i="3" s="1"/>
  <c r="F62" i="3"/>
  <c r="F61" i="3" s="1"/>
  <c r="M60" i="3"/>
  <c r="N59" i="3"/>
  <c r="N58" i="3" s="1"/>
  <c r="N57" i="3" s="1"/>
  <c r="L59" i="3"/>
  <c r="L58" i="3" s="1"/>
  <c r="L57" i="3" s="1"/>
  <c r="K59" i="3"/>
  <c r="K58" i="3" s="1"/>
  <c r="K57" i="3" s="1"/>
  <c r="J59" i="3"/>
  <c r="J58" i="3" s="1"/>
  <c r="J57" i="3" s="1"/>
  <c r="I59" i="3"/>
  <c r="I58" i="3" s="1"/>
  <c r="I57" i="3" s="1"/>
  <c r="H59" i="3"/>
  <c r="H58" i="3" s="1"/>
  <c r="H57" i="3" s="1"/>
  <c r="G59" i="3"/>
  <c r="G58" i="3" s="1"/>
  <c r="G57" i="3" s="1"/>
  <c r="F59" i="3"/>
  <c r="F58" i="3" s="1"/>
  <c r="F57" i="3" s="1"/>
  <c r="K56" i="3"/>
  <c r="N56" i="3" s="1"/>
  <c r="K55" i="3"/>
  <c r="N55" i="3" s="1"/>
  <c r="K54" i="3"/>
  <c r="N54" i="3" s="1"/>
  <c r="K53" i="3"/>
  <c r="N53" i="3" s="1"/>
  <c r="K52" i="3"/>
  <c r="N52" i="3" s="1"/>
  <c r="K51" i="3"/>
  <c r="L50" i="3"/>
  <c r="J50" i="3"/>
  <c r="I50" i="3"/>
  <c r="H50" i="3"/>
  <c r="G50" i="3"/>
  <c r="F50" i="3"/>
  <c r="K49" i="3"/>
  <c r="N49" i="3" s="1"/>
  <c r="K48" i="3"/>
  <c r="N48" i="3" s="1"/>
  <c r="K47" i="3"/>
  <c r="L46" i="3"/>
  <c r="J46" i="3"/>
  <c r="I46" i="3"/>
  <c r="H46" i="3"/>
  <c r="G46" i="3"/>
  <c r="F46" i="3"/>
  <c r="K45" i="3"/>
  <c r="N45" i="3" s="1"/>
  <c r="K44" i="3"/>
  <c r="L43" i="3"/>
  <c r="J43" i="3"/>
  <c r="I43" i="3"/>
  <c r="H43" i="3"/>
  <c r="G43" i="3"/>
  <c r="F43" i="3"/>
  <c r="K42" i="3"/>
  <c r="N42" i="3" s="1"/>
  <c r="K40" i="3"/>
  <c r="L39" i="3"/>
  <c r="J39" i="3"/>
  <c r="I39" i="3"/>
  <c r="H39" i="3"/>
  <c r="G39" i="3"/>
  <c r="F39" i="3"/>
  <c r="K37" i="3"/>
  <c r="L36" i="3"/>
  <c r="L35" i="3" s="1"/>
  <c r="J36" i="3"/>
  <c r="J35" i="3" s="1"/>
  <c r="J34" i="3" s="1"/>
  <c r="J33" i="3" s="1"/>
  <c r="I36" i="3"/>
  <c r="I35" i="3" s="1"/>
  <c r="I34" i="3" s="1"/>
  <c r="I33" i="3" s="1"/>
  <c r="H36" i="3"/>
  <c r="H35" i="3" s="1"/>
  <c r="H34" i="3" s="1"/>
  <c r="H33" i="3" s="1"/>
  <c r="G36" i="3"/>
  <c r="G35" i="3" s="1"/>
  <c r="G34" i="3" s="1"/>
  <c r="G33" i="3" s="1"/>
  <c r="F36" i="3"/>
  <c r="F35" i="3" s="1"/>
  <c r="F34" i="3" s="1"/>
  <c r="F33" i="3" s="1"/>
  <c r="K31" i="3"/>
  <c r="K30" i="3"/>
  <c r="N30" i="3" s="1"/>
  <c r="K29" i="3"/>
  <c r="N29" i="3" s="1"/>
  <c r="L28" i="3"/>
  <c r="L27" i="3" s="1"/>
  <c r="J28" i="3"/>
  <c r="J27" i="3" s="1"/>
  <c r="I28" i="3"/>
  <c r="I27" i="3" s="1"/>
  <c r="H28" i="3"/>
  <c r="H27" i="3" s="1"/>
  <c r="G28" i="3"/>
  <c r="G27" i="3" s="1"/>
  <c r="F28" i="3"/>
  <c r="F27" i="3" s="1"/>
  <c r="K26" i="3"/>
  <c r="K25" i="3"/>
  <c r="N25" i="3" s="1"/>
  <c r="K24" i="3"/>
  <c r="N24" i="3" s="1"/>
  <c r="K23" i="3"/>
  <c r="N23" i="3" s="1"/>
  <c r="K22" i="3"/>
  <c r="N22" i="3" s="1"/>
  <c r="K21" i="3"/>
  <c r="N21" i="3" s="1"/>
  <c r="K20" i="3"/>
  <c r="N20" i="3" s="1"/>
  <c r="K19" i="3"/>
  <c r="K18" i="3"/>
  <c r="L17" i="3"/>
  <c r="J17" i="3"/>
  <c r="I17" i="3"/>
  <c r="H17" i="3"/>
  <c r="G17" i="3"/>
  <c r="F17" i="3"/>
  <c r="K16" i="3"/>
  <c r="K15" i="3"/>
  <c r="N15" i="3" s="1"/>
  <c r="J14" i="3"/>
  <c r="I14" i="3"/>
  <c r="I8" i="3" s="1"/>
  <c r="I7" i="3" s="1"/>
  <c r="H14" i="3"/>
  <c r="H8" i="3" s="1"/>
  <c r="H7" i="3" s="1"/>
  <c r="G14" i="3"/>
  <c r="G8" i="3" s="1"/>
  <c r="G7" i="3" s="1"/>
  <c r="F14" i="3"/>
  <c r="F8" i="3" s="1"/>
  <c r="F7" i="3" s="1"/>
  <c r="M10" i="3"/>
  <c r="L8" i="3"/>
  <c r="L7" i="3" s="1"/>
  <c r="M66" i="3" l="1"/>
  <c r="N66" i="3"/>
  <c r="M63" i="3"/>
  <c r="N63" i="3"/>
  <c r="N62" i="3" s="1"/>
  <c r="N61" i="3" s="1"/>
  <c r="H114" i="3"/>
  <c r="H113" i="3" s="1"/>
  <c r="M96" i="3"/>
  <c r="N96" i="3"/>
  <c r="M102" i="3"/>
  <c r="N102" i="3"/>
  <c r="M85" i="3"/>
  <c r="N85" i="3"/>
  <c r="M100" i="3"/>
  <c r="N100" i="3"/>
  <c r="N97" i="3" s="1"/>
  <c r="M103" i="3"/>
  <c r="N103" i="3"/>
  <c r="M67" i="3"/>
  <c r="N67" i="3"/>
  <c r="N65" i="3" s="1"/>
  <c r="N64" i="3" s="1"/>
  <c r="M78" i="3"/>
  <c r="N78" i="3"/>
  <c r="M123" i="3"/>
  <c r="N123" i="3"/>
  <c r="M127" i="3"/>
  <c r="N127" i="3"/>
  <c r="K39" i="3"/>
  <c r="M39" i="3" s="1"/>
  <c r="N40" i="3"/>
  <c r="N39" i="3" s="1"/>
  <c r="M44" i="3"/>
  <c r="N44" i="3"/>
  <c r="N43" i="3" s="1"/>
  <c r="M47" i="3"/>
  <c r="N47" i="3"/>
  <c r="N46" i="3" s="1"/>
  <c r="M80" i="3"/>
  <c r="N80" i="3"/>
  <c r="M89" i="3"/>
  <c r="N89" i="3"/>
  <c r="M92" i="3"/>
  <c r="N92" i="3"/>
  <c r="M18" i="3"/>
  <c r="N18" i="3"/>
  <c r="M26" i="3"/>
  <c r="N26" i="3"/>
  <c r="N37" i="3"/>
  <c r="N36" i="3" s="1"/>
  <c r="N35" i="3" s="1"/>
  <c r="N34" i="3" s="1"/>
  <c r="N33" i="3" s="1"/>
  <c r="M51" i="3"/>
  <c r="N51" i="3"/>
  <c r="M118" i="3"/>
  <c r="N118" i="3"/>
  <c r="M129" i="3"/>
  <c r="N129" i="3"/>
  <c r="M121" i="3"/>
  <c r="N121" i="3"/>
  <c r="M16" i="3"/>
  <c r="N16" i="3"/>
  <c r="N14" i="3" s="1"/>
  <c r="M19" i="3"/>
  <c r="N19" i="3"/>
  <c r="M31" i="3"/>
  <c r="N31" i="3"/>
  <c r="M82" i="3"/>
  <c r="N82" i="3"/>
  <c r="M119" i="3"/>
  <c r="N119" i="3"/>
  <c r="G75" i="3"/>
  <c r="G74" i="3" s="1"/>
  <c r="G73" i="3" s="1"/>
  <c r="G72" i="3" s="1"/>
  <c r="M106" i="3"/>
  <c r="M57" i="3"/>
  <c r="M24" i="3"/>
  <c r="M77" i="3"/>
  <c r="F6" i="3"/>
  <c r="F5" i="3" s="1"/>
  <c r="I41" i="3"/>
  <c r="I38" i="3" s="1"/>
  <c r="I32" i="3" s="1"/>
  <c r="M83" i="3"/>
  <c r="J41" i="3"/>
  <c r="J38" i="3" s="1"/>
  <c r="J32" i="3" s="1"/>
  <c r="K14" i="3"/>
  <c r="M14" i="3" s="1"/>
  <c r="M94" i="3"/>
  <c r="M56" i="3"/>
  <c r="K65" i="3"/>
  <c r="K64" i="3" s="1"/>
  <c r="M64" i="3" s="1"/>
  <c r="K91" i="3"/>
  <c r="M91" i="3" s="1"/>
  <c r="M98" i="3"/>
  <c r="H75" i="3"/>
  <c r="H74" i="3" s="1"/>
  <c r="M112" i="3"/>
  <c r="I114" i="3"/>
  <c r="I113" i="3" s="1"/>
  <c r="I6" i="3"/>
  <c r="I5" i="3" s="1"/>
  <c r="M30" i="3"/>
  <c r="M55" i="3"/>
  <c r="M95" i="3"/>
  <c r="M25" i="3"/>
  <c r="M37" i="3"/>
  <c r="M124" i="3"/>
  <c r="M48" i="3"/>
  <c r="M13" i="3"/>
  <c r="M22" i="3"/>
  <c r="M42" i="3"/>
  <c r="K46" i="3"/>
  <c r="M46" i="3" s="1"/>
  <c r="K62" i="3"/>
  <c r="K61" i="3" s="1"/>
  <c r="G6" i="3"/>
  <c r="G5" i="3" s="1"/>
  <c r="M116" i="3"/>
  <c r="M12" i="3"/>
  <c r="H6" i="3"/>
  <c r="H5" i="3" s="1"/>
  <c r="F75" i="3"/>
  <c r="F74" i="3" s="1"/>
  <c r="F73" i="3" s="1"/>
  <c r="F72" i="3" s="1"/>
  <c r="K36" i="3"/>
  <c r="K35" i="3" s="1"/>
  <c r="K34" i="3" s="1"/>
  <c r="K33" i="3" s="1"/>
  <c r="F41" i="3"/>
  <c r="F38" i="3" s="1"/>
  <c r="F32" i="3" s="1"/>
  <c r="G41" i="3"/>
  <c r="G38" i="3" s="1"/>
  <c r="G32" i="3" s="1"/>
  <c r="K97" i="3"/>
  <c r="M97" i="3" s="1"/>
  <c r="H41" i="3"/>
  <c r="H38" i="3" s="1"/>
  <c r="H32" i="3" s="1"/>
  <c r="M59" i="3"/>
  <c r="I75" i="3"/>
  <c r="I74" i="3" s="1"/>
  <c r="L114" i="3"/>
  <c r="L113" i="3" s="1"/>
  <c r="L164" i="3" s="1"/>
  <c r="M53" i="3"/>
  <c r="L75" i="3"/>
  <c r="L74" i="3" s="1"/>
  <c r="L61" i="3"/>
  <c r="L34" i="3"/>
  <c r="M107" i="3"/>
  <c r="M122" i="3"/>
  <c r="M11" i="3"/>
  <c r="K104" i="3"/>
  <c r="M104" i="3" s="1"/>
  <c r="M58" i="3"/>
  <c r="K109" i="3"/>
  <c r="M109" i="3" s="1"/>
  <c r="N109" i="3"/>
  <c r="M45" i="3"/>
  <c r="J114" i="3"/>
  <c r="J113" i="3" s="1"/>
  <c r="L6" i="3"/>
  <c r="M23" i="3"/>
  <c r="K43" i="3"/>
  <c r="M81" i="3"/>
  <c r="K115" i="3"/>
  <c r="K28" i="3"/>
  <c r="K27" i="3" s="1"/>
  <c r="M27" i="3" s="1"/>
  <c r="M29" i="3"/>
  <c r="M20" i="3"/>
  <c r="K50" i="3"/>
  <c r="M50" i="3" s="1"/>
  <c r="K76" i="3"/>
  <c r="M130" i="3"/>
  <c r="M86" i="3"/>
  <c r="M93" i="3"/>
  <c r="M110" i="3"/>
  <c r="L41" i="3"/>
  <c r="L38" i="3" s="1"/>
  <c r="M54" i="3"/>
  <c r="J75" i="3"/>
  <c r="J74" i="3" s="1"/>
  <c r="M90" i="3"/>
  <c r="N133" i="3"/>
  <c r="N132" i="3" s="1"/>
  <c r="K133" i="3"/>
  <c r="K132" i="3" s="1"/>
  <c r="K126" i="3"/>
  <c r="M126" i="3" s="1"/>
  <c r="M84" i="3"/>
  <c r="M99" i="3"/>
  <c r="M105" i="3"/>
  <c r="M117" i="3"/>
  <c r="M125" i="3"/>
  <c r="M128" i="3"/>
  <c r="M9" i="3"/>
  <c r="M21" i="3"/>
  <c r="M40" i="3"/>
  <c r="M49" i="3"/>
  <c r="M52" i="3"/>
  <c r="M88" i="3"/>
  <c r="N104" i="3"/>
  <c r="M108" i="3"/>
  <c r="M111" i="3"/>
  <c r="M120" i="3"/>
  <c r="M131" i="3"/>
  <c r="K17" i="3"/>
  <c r="M17" i="3" s="1"/>
  <c r="K101" i="3"/>
  <c r="M101" i="3" s="1"/>
  <c r="M79" i="3"/>
  <c r="M15" i="3"/>
  <c r="H73" i="3" l="1"/>
  <c r="H72" i="3" s="1"/>
  <c r="J73" i="3"/>
  <c r="J72" i="3" s="1"/>
  <c r="M36" i="3"/>
  <c r="I73" i="3"/>
  <c r="I72" i="3" s="1"/>
  <c r="M62" i="3"/>
  <c r="I4" i="3"/>
  <c r="H4" i="3"/>
  <c r="G4" i="3"/>
  <c r="G3" i="3" s="1"/>
  <c r="G166" i="3" s="1"/>
  <c r="F4" i="3"/>
  <c r="F3" i="3" s="1"/>
  <c r="F166" i="3" s="1"/>
  <c r="M35" i="3"/>
  <c r="M61" i="3"/>
  <c r="K8" i="3"/>
  <c r="K7" i="3" s="1"/>
  <c r="M7" i="3" s="1"/>
  <c r="N101" i="3"/>
  <c r="N28" i="3"/>
  <c r="N27" i="3" s="1"/>
  <c r="N126" i="3"/>
  <c r="M65" i="3"/>
  <c r="K114" i="3"/>
  <c r="K113" i="3" s="1"/>
  <c r="M113" i="3" s="1"/>
  <c r="N8" i="3"/>
  <c r="N7" i="3" s="1"/>
  <c r="N115" i="3"/>
  <c r="N91" i="3"/>
  <c r="K41" i="3"/>
  <c r="K38" i="3" s="1"/>
  <c r="K32" i="3" s="1"/>
  <c r="N76" i="3"/>
  <c r="M34" i="3"/>
  <c r="L33" i="3"/>
  <c r="K75" i="3"/>
  <c r="M115" i="3"/>
  <c r="N17" i="3"/>
  <c r="M76" i="3"/>
  <c r="L5" i="3"/>
  <c r="L73" i="3"/>
  <c r="M43" i="3"/>
  <c r="N50" i="3"/>
  <c r="N41" i="3" s="1"/>
  <c r="N38" i="3" s="1"/>
  <c r="N32" i="3" s="1"/>
  <c r="M28" i="3"/>
  <c r="I3" i="3" l="1"/>
  <c r="I166" i="3" s="1"/>
  <c r="H3" i="3"/>
  <c r="H166" i="3" s="1"/>
  <c r="N6" i="3"/>
  <c r="N5" i="3" s="1"/>
  <c r="N4" i="3" s="1"/>
  <c r="M8" i="3"/>
  <c r="M114" i="3"/>
  <c r="K6" i="3"/>
  <c r="K5" i="3" s="1"/>
  <c r="M5" i="3" s="1"/>
  <c r="N114" i="3"/>
  <c r="N113" i="3" s="1"/>
  <c r="M41" i="3"/>
  <c r="M38" i="3"/>
  <c r="N75" i="3"/>
  <c r="N74" i="3" s="1"/>
  <c r="L72" i="3"/>
  <c r="K74" i="3"/>
  <c r="M75" i="3"/>
  <c r="M33" i="3"/>
  <c r="L32" i="3"/>
  <c r="M32" i="3" l="1"/>
  <c r="K4" i="3"/>
  <c r="M6" i="3"/>
  <c r="N73" i="3"/>
  <c r="N72" i="3" s="1"/>
  <c r="K73" i="3"/>
  <c r="M74" i="3"/>
  <c r="L4" i="3"/>
  <c r="N3" i="3" l="1"/>
  <c r="N166" i="3" s="1"/>
  <c r="K72" i="3"/>
  <c r="M73" i="3"/>
  <c r="L3" i="3"/>
  <c r="M4" i="3"/>
  <c r="L166" i="3" l="1"/>
  <c r="K3" i="3"/>
  <c r="M72" i="3"/>
  <c r="M3" i="3" l="1"/>
  <c r="K166" i="3"/>
  <c r="M166" i="3" s="1"/>
</calcChain>
</file>

<file path=xl/sharedStrings.xml><?xml version="1.0" encoding="utf-8"?>
<sst xmlns="http://schemas.openxmlformats.org/spreadsheetml/2006/main" count="651" uniqueCount="336">
  <si>
    <t>Rubro Presupuestal</t>
  </si>
  <si>
    <t>Nombre Rubro</t>
  </si>
  <si>
    <t>Fuente financiacion</t>
  </si>
  <si>
    <t>Nombre Fuente</t>
  </si>
  <si>
    <t>Apropiacion Inicial</t>
  </si>
  <si>
    <t>Credito</t>
  </si>
  <si>
    <t>Contracredito</t>
  </si>
  <si>
    <t>Adicion</t>
  </si>
  <si>
    <t>Reduccion</t>
  </si>
  <si>
    <t>Apropiacion Definitiva</t>
  </si>
  <si>
    <t>Ejecucion</t>
  </si>
  <si>
    <t>% Ecuccion</t>
  </si>
  <si>
    <t>Saldo Apropiacion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</si>
  <si>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</si>
  <si>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</si>
  <si>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</si>
  <si>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</si>
  <si>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</si>
  <si>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</si>
  <si>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</si>
  <si>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</si>
  <si>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</si>
  <si>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2.1.1.01.01.001</t>
  </si>
  <si>
    <t>Factores salariales comunes</t>
  </si>
  <si>
    <t>2.1.1.01.01.001.01</t>
  </si>
  <si>
    <t>Sueldo básico</t>
  </si>
  <si>
    <t>001</t>
  </si>
  <si>
    <t>Ingresos Corriente de Libre Destinacion</t>
  </si>
  <si>
    <t>2.1.1.01.01.001.04</t>
  </si>
  <si>
    <t>Subsidio de alimentación</t>
  </si>
  <si>
    <t>2.1.1.01.01.001.05</t>
  </si>
  <si>
    <t>Auxilio de transporte</t>
  </si>
  <si>
    <t>2.1.1.01.01.001.06</t>
  </si>
  <si>
    <t>Prima de servicio</t>
  </si>
  <si>
    <t>2.1.1.01.01.001.07</t>
  </si>
  <si>
    <t>Bonificación por servicios prestados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</si>
  <si>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</si>
  <si>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</si>
  <si>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</si>
  <si>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</si>
  <si>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</si>
  <si>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</si>
  <si>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2.1.1.01.02</t>
  </si>
  <si>
    <t>Contribuciones inherentes a la nómina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</si>
  <si>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</si>
  <si>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</si>
  <si>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</si>
  <si>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</si>
  <si>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</si>
  <si>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 xml:space="preserve">Aportes de cesantías 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</si>
  <si>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</si>
  <si>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</si>
  <si>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</si>
  <si>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</si>
  <si>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</si>
  <si>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al ICBF</t>
  </si>
  <si>
    <t>2.1.1.01.02.007</t>
  </si>
  <si>
    <t>Aportes al SENA</t>
  </si>
  <si>
    <t>2.1.1.01.02.008</t>
  </si>
  <si>
    <t>Aportes a la ESAP</t>
  </si>
  <si>
    <t>2.1.1.01.02.009</t>
  </si>
  <si>
    <t>Aportes a escuelas industriales e institutos técnicos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</si>
  <si>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</si>
  <si>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</si>
  <si>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</si>
  <si>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</si>
  <si>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</si>
  <si>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2.1.1.01.03.001.02</t>
  </si>
  <si>
    <t>Indemnización por vacaciones</t>
  </si>
  <si>
    <t>2.1.1.01.03.001.03</t>
  </si>
  <si>
    <t>Bonificación especial de recreación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</si>
  <si>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</si>
  <si>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</si>
  <si>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</si>
  <si>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</si>
  <si>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</si>
  <si>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</si>
  <si>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</si>
  <si>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</si>
  <si>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</si>
  <si>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informática</t>
  </si>
  <si>
    <t>2.1.2.01.01.003.03.02</t>
  </si>
  <si>
    <t>Maquinaria de informática y sus partes, piezas y accesorios</t>
  </si>
  <si>
    <t>2.1.2.02</t>
  </si>
  <si>
    <t>Adquisiciones diferentes de activos</t>
  </si>
  <si>
    <t>2.1.2.02.01</t>
  </si>
  <si>
    <t>Materiales y suministros</t>
  </si>
  <si>
    <t>2.1.2.02.01.003</t>
  </si>
  <si>
    <t>Otros bienes transportables (excepto productos metálicos, maquinaria y equipo)</t>
  </si>
  <si>
    <t>2.1.2.02.02</t>
  </si>
  <si>
    <t>Adquisición de servicios</t>
  </si>
  <si>
    <t>2.1.2.02.02.006</t>
  </si>
  <si>
    <t>Servicios de alojamiento; servicios de suministro de comidas y bebidas; servicios de transporte; y servicios de distribución de electricidad, gas y agua</t>
  </si>
  <si>
    <t>2.1.2.02.02.007</t>
  </si>
  <si>
    <t>Servicios financieros y servicios conexos, servicios inmobiliarios y servicios de leasing</t>
  </si>
  <si>
    <t>2.1.2.02.02.007.01.15</t>
  </si>
  <si>
    <t>Arrendamientos</t>
  </si>
  <si>
    <t>2.1.2.02.02.007.02.15</t>
  </si>
  <si>
    <t>Seguros</t>
  </si>
  <si>
    <t>2.1.2.02.02.008</t>
  </si>
  <si>
    <t xml:space="preserve">Servicios prestados a las empresas y servicios de producción </t>
  </si>
  <si>
    <t>2.1.2.02.02.008-1.15</t>
  </si>
  <si>
    <t>Mantenimientos</t>
  </si>
  <si>
    <t>2.1.2.02.02.008-2.15</t>
  </si>
  <si>
    <t>Servicios publicos, internet, telefonos y otros</t>
  </si>
  <si>
    <t>2.1.2.02.02.008-3.15</t>
  </si>
  <si>
    <t>Impresos y publicaciones</t>
  </si>
  <si>
    <t>2.1.2.02.02.009</t>
  </si>
  <si>
    <t>Servicios para la comunidad, sociales y personales</t>
  </si>
  <si>
    <t>2.1.2.02.02.009-4.15</t>
  </si>
  <si>
    <t>Remuneracion servicios tecnicos</t>
  </si>
  <si>
    <t>2.1.2.02.02.009-6.15</t>
  </si>
  <si>
    <t>Gastos de Bienestar social</t>
  </si>
  <si>
    <t>2.1.2.02.02.009-7.15</t>
  </si>
  <si>
    <t>Capacitacion</t>
  </si>
  <si>
    <t>2.1.2.02.02.009-8.15</t>
  </si>
  <si>
    <t>Otros</t>
  </si>
  <si>
    <t>2.1.2.02.02.010</t>
  </si>
  <si>
    <t>Viáticos de los funcionarios en comisión</t>
  </si>
  <si>
    <t>2.1.2.02.03</t>
  </si>
  <si>
    <t>Gastos imprevistos</t>
  </si>
  <si>
    <t>2.1.3</t>
  </si>
  <si>
    <t>Transferencias corrientes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</si>
  <si>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</si>
  <si>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</si>
  <si>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</si>
  <si>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</si>
  <si>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</si>
  <si>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</si>
  <si>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2.1.7</t>
  </si>
  <si>
    <t>Disminucion de Pasivos</t>
  </si>
  <si>
    <t>2.1.7.01</t>
  </si>
  <si>
    <t>Cesantias</t>
  </si>
  <si>
    <t>2.1.7.01.01</t>
  </si>
  <si>
    <t>Cesantias Definitivas</t>
  </si>
  <si>
    <t>2.1.8</t>
  </si>
  <si>
    <t>Gastos por tributos, tasas, contribuciones, multas, sanciones e intereses de mora</t>
  </si>
  <si>
    <t>2.1.8.04</t>
  </si>
  <si>
    <t>Contribuciones</t>
  </si>
  <si>
    <t>2.1.8.04.01</t>
  </si>
  <si>
    <t>Cuota de fiscalización y auditaje</t>
  </si>
  <si>
    <t>135</t>
  </si>
  <si>
    <t>Venta de Bienes y Servicios IDER</t>
  </si>
  <si>
    <t>2.3</t>
  </si>
  <si>
    <t>Gastos de Inversion</t>
  </si>
  <si>
    <t>fuente</t>
  </si>
  <si>
    <t>2.3.43</t>
  </si>
  <si>
    <t>Deporte y Recreacion</t>
  </si>
  <si>
    <t>2.3.4301</t>
  </si>
  <si>
    <t>Fomento a la Recreacion, la actividad fisica y el Deporte</t>
  </si>
  <si>
    <t>2.3.4301.1604</t>
  </si>
  <si>
    <t>Recreacion y Deporte</t>
  </si>
  <si>
    <t>2.3.4301.1604.2020130010036</t>
  </si>
  <si>
    <t>Conservacion, Mantenimiento y Mejoramiento de los Escenarios Deportivos de la ciudad como estrategia de preservacion del patrimonio material del Distrito de Cartagena de Indias.</t>
  </si>
  <si>
    <t>2.3.4301.1604.2020130010036-025</t>
  </si>
  <si>
    <t>025</t>
  </si>
  <si>
    <t>2.3.4301.1604.2020130010036-059</t>
  </si>
  <si>
    <t>059</t>
  </si>
  <si>
    <t>2.3.4301.1604.2020130010036-097</t>
  </si>
  <si>
    <t>097</t>
  </si>
  <si>
    <t>2.3.4301.1604.2020130010053</t>
  </si>
  <si>
    <t>Desarrollo de la Escuela de Iniciacion y formacion Deportiva EIFD en el distrito de Cartagena de Indias</t>
  </si>
  <si>
    <t>2.3.4301.1604.2020130010053-025</t>
  </si>
  <si>
    <t>2.3.4301.1604.2020130010053-097</t>
  </si>
  <si>
    <t>Desarrollo de la escuela de iniciacion y formacion Deportiva EIFD en el distrito de Cartagena</t>
  </si>
  <si>
    <t>2.3.4301.1604.2020130010053-130</t>
  </si>
  <si>
    <t>DESARROLLO DE LA ESCUELA DE fNICIAClON Y FORMACION DEPORTIVA - EIFD EN EL DISTRITO DE CARTAGENA DE INDIAS - DEFICIT</t>
  </si>
  <si>
    <t>2.3.4301.1604.2020130010055</t>
  </si>
  <si>
    <t>Mejoramiento de los estilos de Vida mediante la promosicion masiva de una vida activa de la ciudadania en el Distrito de cartagena de Indias</t>
  </si>
  <si>
    <t>2.3.4301.1604.2020130010055-025</t>
  </si>
  <si>
    <t>2.3.4301.1604.2020130010055-059</t>
  </si>
  <si>
    <t>2.3.4301.1604.2020130010055-097</t>
  </si>
  <si>
    <t>2.3.4301.1604.2020130010194</t>
  </si>
  <si>
    <t>Fortalecimiento del Deporte Estudiantil Mediante la implementacion de los juegos intercolegiados y universitarios en el Distrito de Cartagena de Indias</t>
  </si>
  <si>
    <t>2.3.4301.1604.2020130010194-059</t>
  </si>
  <si>
    <t>FORTALECIMIENTO DEL DEPORTE ESTUDIANTIL MEDIANTE LA IMPLEMENTACION DE LOS JUEGOS INTERCOLEGIADOS Y UNIVERSITARIOS EN EL DISTRITO DE   CARTAGENA DE INDIAS</t>
  </si>
  <si>
    <t>2.3.4301.1604.2020130010194-097</t>
  </si>
  <si>
    <t>2.3.4301.1604.2021130010011</t>
  </si>
  <si>
    <t>Integracion comunitaria a Traves del Deporte como Herramienta para la inclusion social desde los diferentes enfoques poblacionales Cartagena de indias</t>
  </si>
  <si>
    <t>2.3.4301.1604.2021130010011-059</t>
  </si>
  <si>
    <t>INTEGRACION COMUNITARIA  A TRAVES DEL DEPORTE COMO HERRAMIENTA PARA LA INCLUSION SOCIAL DESDE LOS DIFERENTES ENFOQUES POBLACIONALES CARTAGENA DE INDIAS</t>
  </si>
  <si>
    <t>092</t>
  </si>
  <si>
    <t>2.3.4301.1604.2021130010011-097</t>
  </si>
  <si>
    <t>INTEGRACION COMUNITARIA  A TRAVES DEL DEPORTE COMO HERRAMIENTA  PARA LA INCLUSION SOCIAL DESDE LOS DIFERENTES ENFOQUES POBLACIONALES CARTAGENA DE INDIAS</t>
  </si>
  <si>
    <t>122</t>
  </si>
  <si>
    <t>2.3.4301.1604.2021130010230</t>
  </si>
  <si>
    <t>Recreacion Comunitaria y Aprovechamiento del tiempo libre, como mecanismo de cohesion e Integracion social en el Distrito de Cartagena de Indias</t>
  </si>
  <si>
    <t>024</t>
  </si>
  <si>
    <t>2.3.4301.1604.2021130010230-025</t>
  </si>
  <si>
    <t>2.3.4301.1604.2021130010230-059</t>
  </si>
  <si>
    <t>2.3.4301.1604.2021130010230-097</t>
  </si>
  <si>
    <t>2.3.4302</t>
  </si>
  <si>
    <t>Formacion y Preparacion de Deportistas</t>
  </si>
  <si>
    <t>2.3.4302.1604</t>
  </si>
  <si>
    <t>consolidacion del sistema deportivo distrital mnediante una estrategia de estimulos y/o apoyos a las organizaciones deportivas y deportistas de altos logros Cartagena de Indias</t>
  </si>
  <si>
    <t>2.3.4302.1604.2020130010038-059</t>
  </si>
  <si>
    <t>CONSOLIDACION DEL SISTEMA DEPORTIVO DISTRITAL MEDIANTE UNA ESTRATEGIA DE ESTIMULOS Y/O APOYOS A LAS ORGANIZACIONES DEPORTIVAS  Y DEPORTISTAS DE ALTOS LOGROS-0 CARTAGENA DE INDIAS</t>
  </si>
  <si>
    <t>2.3.4302.1604.2021130010038-025</t>
  </si>
  <si>
    <t>2.3.4302.1604.2021130010038-097</t>
  </si>
  <si>
    <t>2.3.4302.1604.2021130010270</t>
  </si>
  <si>
    <t>Implementacion del observatorio de ciencias aplicadasal deporte, la recreacion, la actividad fisica y el aprovechamiento del tiempo libre en el Distrito de Cartagena de Indias</t>
  </si>
  <si>
    <t>011</t>
  </si>
  <si>
    <t>2.3.4302.1604.2021130010270-025</t>
  </si>
  <si>
    <t>2.3.4302.1604.2021130010270-097</t>
  </si>
  <si>
    <t>IMPLEMENTACION DEL OBSERVATORIO  DE CIENCIAS APLICADAS AL DEPORTE. LA RECREACION. LA ACTIVIDAD FISICA Y EL APROVECHAMIENTO DEL TIEMPO LIBRE EN EL DISTRITO DE CARTAGENA DE INDIAS</t>
  </si>
  <si>
    <t>2.3.4599</t>
  </si>
  <si>
    <t>Implementacion del Plan del saneamiento fiscal y Financiero del Distrito de Cartagena de Indias</t>
  </si>
  <si>
    <t>2.3.4599.1000</t>
  </si>
  <si>
    <t>2.3.4599.1000.2021130010274-001</t>
  </si>
  <si>
    <t>IMPLEMENTACION DEL PLAN DE SANEAMIENTO FISCAL Y FINANCIEROS DEL DISTRITO DE CARTAGENA</t>
  </si>
  <si>
    <t>R001</t>
  </si>
  <si>
    <t>R059</t>
  </si>
  <si>
    <t>R097</t>
  </si>
  <si>
    <t>SUBTOTAL RESERVAS</t>
  </si>
  <si>
    <t>TOTALES GASTOS DE FUNCIONAMIENTO E INVERSION MAS RESERVAS</t>
  </si>
  <si>
    <t>Viviana Londoño Moreno -  Directora General</t>
  </si>
  <si>
    <t xml:space="preserve">Edwin Salcedo Ricardo - Pu Presupuesto - </t>
  </si>
  <si>
    <t>Conservacion mantenimiento y mejoramiento de los escenarios deportivos de la ciudad como estrategia de preservacion del patrimonio material del Distrito de Cartagena de Indias</t>
  </si>
  <si>
    <t>1.2.3.1.18-025 -  TASA PRODEPORTE</t>
  </si>
  <si>
    <t>1.2.4.3.01-059 - SGP DEPORTE</t>
  </si>
  <si>
    <t>1.2.2.0.00-097 - ICDE IDER 3% ICA</t>
  </si>
  <si>
    <t>1.3.2.2.08-122 - RF SGP DEPORTE</t>
  </si>
  <si>
    <t>Conservacion , mantenimiento y mejoramiento de los escenarios deportivos de la ciudad como estrategia de preservacion del patrimonio material del Distrito de   Cartagena de Indias</t>
  </si>
  <si>
    <t>F059</t>
  </si>
  <si>
    <t>SGP DEPORTE  VF</t>
  </si>
  <si>
    <t>F097</t>
  </si>
  <si>
    <t xml:space="preserve">ICA 3%  VF </t>
  </si>
  <si>
    <t>Desarrollo de la Escuela de Iniciacion y Formacion Deportiva - EIFD en el Distrito de Cartagena de Indias</t>
  </si>
  <si>
    <t>Mejoramiento de los estilos de vida mediante la promocion masiva de una vida activa de la ciudadania en el distrito de Cartagena de Indias</t>
  </si>
  <si>
    <t>Fortalecimiento del deporte estudiantil mediante la implementacion de los Juegos Intercolegiados y universitarios en el Distrito de   Cartagena de Indias</t>
  </si>
  <si>
    <t>Integracion Comunitaria a traves del Deporte como Herramienta para la inclusion Social desde los diferentes enfoques Poblacionales  Cartagena de Indias</t>
  </si>
  <si>
    <t>Recreacion comunitaria y aprovechamiento del tiempo libre como mecanismo de cohesion e integracion social en el Distrito de Cartagena de Indias</t>
  </si>
  <si>
    <t>2.3.4302.1604.2020130010038</t>
  </si>
  <si>
    <t>Consolidacion DEL SISTEMA DEPORTIVO DISTRITAL MEDIANTE UNA ESTRATEGIA DE ESTiMULOS Y/O APOYOS A LAS ORGANIZACIONES DEPORTIVAS Y DEPORTISTAS DE ALTOS LOGROS-0 Cartagena de Indias</t>
  </si>
  <si>
    <t>Implementacion del Observatorio de ciencias aplicadas al Deporte la Recreacion la Actividad fisica y el Aprovechamiento del tiempo libre en el distrito de Cartagena de Indias</t>
  </si>
  <si>
    <t>1.3.2.3.05-011- OTROS RENDIMIENTOS FINANCIEROS IDER</t>
  </si>
  <si>
    <t>1.2.3.1.12-024-IMPUESTO DE ESPECTACULOS PUBLICOS NACIONAL IDER</t>
  </si>
  <si>
    <t>1.2.3.3.01-092 - PARTICIPACIONES DISTINTAS DEL SGP (IMPUESTO AL CONSUMO DE CIGARRILLOS Y TABACO)</t>
  </si>
  <si>
    <t>RESERVAS PRESUPUESTALES VIGENCIA 2022</t>
  </si>
  <si>
    <t>Otros bienes transportables (excepto productos metalicos, maquinaria y equipo)</t>
  </si>
  <si>
    <t>ICLD RESERVAS</t>
  </si>
  <si>
    <t>R025</t>
  </si>
  <si>
    <t>TASA PRODEPORTE Y RECREACION  RESERVAS</t>
  </si>
  <si>
    <t>SGP DEPORTES RESERVAS</t>
  </si>
  <si>
    <t xml:space="preserve">ICA 3% RESERVAS </t>
  </si>
  <si>
    <t>R130</t>
  </si>
  <si>
    <t>OTROS RENDIEMIENTOS FINANCIEROS IDER RESERVAS</t>
  </si>
  <si>
    <t>"Conservacion, mantenimiento y mejoramiento de los escenarios deportivos de la ciudad como estrategia de preservacion del patrimonio material del Distrito de Cartagena de Indias"</t>
  </si>
  <si>
    <t>A001</t>
  </si>
  <si>
    <t>1.3.3.1.00-93-001 RB ICLD</t>
  </si>
  <si>
    <t>A097</t>
  </si>
  <si>
    <t>A122</t>
  </si>
  <si>
    <t>1.3.3.8.01-93-122 RB RF SGP-DEPORTES</t>
  </si>
  <si>
    <t>B059</t>
  </si>
  <si>
    <t>1.3.3.8-01-95-059 RB SGP DEPORTES</t>
  </si>
  <si>
    <t>B097</t>
  </si>
  <si>
    <t>1.3.3.2.00-95.097 RB IDER 3% ICA</t>
  </si>
  <si>
    <t>B122</t>
  </si>
  <si>
    <t>1.3.3.8.01-95-122 RB RF SGP-DEPORTES</t>
  </si>
  <si>
    <t>Desarrollo de la escuela de iniciacion y formacion deportiva - eifd en el distrito de cartagena de indias</t>
  </si>
  <si>
    <t>A025</t>
  </si>
  <si>
    <t>1.3.3.3.19.93-025 RB TASA PRODEPORTE Y RECREACION</t>
  </si>
  <si>
    <t>A059</t>
  </si>
  <si>
    <t>1.2.4.3.01-059- SGP DEPORTES</t>
  </si>
  <si>
    <t>B025</t>
  </si>
  <si>
    <t>1.3.3.3.19.95-025 RB TASA PRODEPORTE Y RECREACION</t>
  </si>
  <si>
    <t>1.3.3.2.00-93.097 RB IDER 3% ICA</t>
  </si>
  <si>
    <t>C122</t>
  </si>
  <si>
    <t>C122  - 1.3.1.1.02.03-122 EXCEDENTES FINANCIEROS IDER</t>
  </si>
  <si>
    <t>C097</t>
  </si>
  <si>
    <t>C097 - 1.3.3.2.00-94-097 RB IDER 3% ICA</t>
  </si>
  <si>
    <t>C025</t>
  </si>
  <si>
    <t>C025- 1.3.3.3.19,94-025 RB TASA PRODEPORTE Y RECREACION</t>
  </si>
  <si>
    <t>C059</t>
  </si>
  <si>
    <t>C059- 1.3.3.8.01-94-059- RB SGP DEPORTES</t>
  </si>
  <si>
    <t>EJECUCION PRESUPUESTAL DICIEMBRE 31 DE 2023 - IDER</t>
  </si>
  <si>
    <t>EJECUCION PRESUPUESTAL DE INGRESOS VIGENCIA 2023</t>
  </si>
  <si>
    <t>ENERO 1 A DICIEMBRE 31 DE 2023</t>
  </si>
  <si>
    <t>FUENTES DE INGRESO</t>
  </si>
  <si>
    <t>APROPIACION INICIAL</t>
  </si>
  <si>
    <t>ADICIONES</t>
  </si>
  <si>
    <t>SUSP</t>
  </si>
  <si>
    <t>REDUCCION</t>
  </si>
  <si>
    <t>CREDITOS</t>
  </si>
  <si>
    <t>C/ CREDITOS</t>
  </si>
  <si>
    <t>APROPIACION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</si>
  <si>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</si>
  <si>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</si>
  <si>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</si>
  <si>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</si>
  <si>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</si>
  <si>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</si>
  <si>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</si>
  <si>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</si>
  <si>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</si>
  <si>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</si>
  <si>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</si>
  <si>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</si>
  <si>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EJECUTADOS</t>
  </si>
  <si>
    <t>% EJECUCION INGRESOS</t>
  </si>
  <si>
    <t>INGRESOS CORRIENTES Y RECURSOS DE CAPITAL</t>
  </si>
  <si>
    <t>INGRESOS CORRIENTES</t>
  </si>
  <si>
    <t>INGRESOS NO TRIBUTARIOS</t>
  </si>
  <si>
    <t>ESPECTACULOS PUBLICOS (024) - 1.2.3.1.12-024 - IMPUESTO DE ESPECTACULOS PUBLICOS NACIONAL IDER</t>
  </si>
  <si>
    <t>Vigencia Actual</t>
  </si>
  <si>
    <t>Vigencias Anteriores</t>
  </si>
  <si>
    <t>Devoluciones</t>
  </si>
  <si>
    <t>INGRESOS CORRIENTES DE LIBRE DESTINACION (001) 1.2.1.0.00-001 - ICLD</t>
  </si>
  <si>
    <t>ARRENDAMIENTO ESCENARIOS DEPORTIVOS (135) 1.2.3.2.09-135 - VENTA DE BIENES Y SERVICIOS IDER</t>
  </si>
  <si>
    <t>VENTA DE SERVICIOS (012)</t>
  </si>
  <si>
    <t>FONDO ICA (097) 1.2.2.0.00-097 - ICDE IDER 3% ICA</t>
  </si>
  <si>
    <t>Vigencias Anteriores - reasignacion</t>
  </si>
  <si>
    <t>PARTICIPACION INGRESOS CORRIENTE DE LA NACION SGP (059) 1.2.4.3.01-059 - SGP DEPORTE</t>
  </si>
  <si>
    <t>RENDIMIENTOS FINANCIEROS SGP (122) 1.3.2.2.08-122 - RF SGP DEPORTE</t>
  </si>
  <si>
    <t>TASA PRO DEPORTE Y RECREACION(025) 1.2.3.2.05-025 - OTRAS TASAS Y DERECHOS ADMINISTRATIVOS TASA PRODEPORTE</t>
  </si>
  <si>
    <t>RENDIMIENTOS FINANCIEROS ICAT 3% (146)</t>
  </si>
  <si>
    <t xml:space="preserve">OTRAS TRANSFERENCIAS </t>
  </si>
  <si>
    <t xml:space="preserve">ALCALDIA </t>
  </si>
  <si>
    <t xml:space="preserve">Plan de Saneamiento Fiscal </t>
  </si>
  <si>
    <t>GOBERNACION 1.2.3.3,01-092 - PARTICIPACIONES DISTINTAS DEL SGP (IMPUESTO AL CONSUMO DE CIGARRILLOS Y TABACO)</t>
  </si>
  <si>
    <t>Imputabaco</t>
  </si>
  <si>
    <t>CONVENIOS (005)</t>
  </si>
  <si>
    <t>RECURSOS DE CAPITAL (11)</t>
  </si>
  <si>
    <t>RENDIMIENTOS FINANCIEROS 1.3.2.3.05-011 - OTROS RENDIMIENTOS FINANCIEROS IDER</t>
  </si>
  <si>
    <t>RENDIMIENTOS VIGENCIAS ANTERIORES</t>
  </si>
  <si>
    <t>RECURSOS DEL BALANCE  (11)</t>
  </si>
  <si>
    <t>INGRESOS CORRIENTES DE LIBRE DESTINACION (001)</t>
  </si>
  <si>
    <t xml:space="preserve">TASA PRO DEPORTE Y RECREACION(025) </t>
  </si>
  <si>
    <t>SGP DEPORTES (059)</t>
  </si>
  <si>
    <t>FONDO ICA (097)</t>
  </si>
  <si>
    <t>RESERVAS PRESUPUESTALES</t>
  </si>
  <si>
    <t>RENDIMIENTOS FINANCIEROS (130)</t>
  </si>
  <si>
    <t>PARTICIPACION INGRESOS CORRIENTE DE LA NACION SGP (059)</t>
  </si>
  <si>
    <t>TASA PRO DEPORTE Y RECRACION (025)</t>
  </si>
  <si>
    <t>% Ejecucion</t>
  </si>
  <si>
    <t>Saldo no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</si>
</sst>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\ #,##0.00;[Red]\-&quot;$&quot;\ #,##0.00"/>
    <numFmt numFmtId="165" formatCode="_-&quot;$&quot;\ * #,##0.00_-;\-&quot;$&quot;\ * #,##0.00_-;_-&quot;$&quot;\ * &quot;-&quot;??_-;_-@_-"/>
    <numFmt numFmtId="166" formatCode="#,##0.00_ ;[Red]\-#,##0.00\ "/>
    <numFmt numFmtId="167" formatCode="0.0%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b/>
      <sz val="16"/>
      <color rgb="FF000000"/>
      <name val="Calibri"/>
      <family val="2"/>
    </font>
    <font>
      <b/>
      <sz val="14"/>
      <color indexed="8"/>
      <name val="Times New Roman"/>
      <family val="1"/>
    </font>
    <font>
      <sz val="8"/>
      <color indexed="8"/>
      <name val="Times New Roman"/>
      <family val="1"/>
    </font>
    <font>
      <sz val="24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color theme="0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 applyBorder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6" fontId="0" fillId="0" borderId="1" xfId="0" applyNumberFormat="1" applyBorder="1" applyAlignment="1">
      <alignment vertical="center"/>
    </xf>
    <xf numFmtId="10" fontId="0" fillId="0" borderId="1" xfId="1" applyNumberFormat="1" applyFont="1" applyFill="1" applyBorder="1" applyAlignment="1" applyProtection="1">
      <alignment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0" fontId="0" fillId="0" borderId="0" xfId="1" applyNumberFormat="1" applyFont="1" applyFill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66" fontId="0" fillId="0" borderId="0" xfId="0" applyNumberFormat="1" applyBorder="1" applyAlignment="1">
      <alignment vertical="center"/>
    </xf>
    <xf numFmtId="10" fontId="0" fillId="0" borderId="0" xfId="1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0" fontId="2" fillId="0" borderId="1" xfId="1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165" fontId="0" fillId="0" borderId="0" xfId="0" applyNumberFormat="1" applyAlignment="1">
      <alignment vertical="center"/>
    </xf>
    <xf numFmtId="166" fontId="0" fillId="3" borderId="1" xfId="0" applyNumberForma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165" fontId="0" fillId="0" borderId="0" xfId="3" applyFont="1"/>
    <xf numFmtId="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43" fontId="7" fillId="0" borderId="0" xfId="4" applyFont="1" applyFill="1" applyAlignment="1">
      <alignment vertical="top"/>
    </xf>
    <xf numFmtId="4" fontId="7" fillId="0" borderId="0" xfId="4" applyNumberFormat="1" applyFont="1" applyFill="1" applyAlignment="1">
      <alignment vertical="top"/>
    </xf>
    <xf numFmtId="4" fontId="7" fillId="0" borderId="0" xfId="4" applyNumberFormat="1" applyFont="1" applyFill="1" applyAlignment="1">
      <alignment horizontal="right" vertical="top"/>
    </xf>
    <xf numFmtId="10" fontId="7" fillId="0" borderId="0" xfId="0" applyNumberFormat="1" applyFont="1" applyAlignment="1">
      <alignment vertical="top"/>
    </xf>
    <xf numFmtId="3" fontId="9" fillId="0" borderId="13" xfId="0" applyNumberFormat="1" applyFont="1" applyBorder="1" applyAlignment="1">
      <alignment horizontal="center" vertical="top"/>
    </xf>
    <xf numFmtId="4" fontId="9" fillId="0" borderId="13" xfId="0" applyNumberFormat="1" applyFont="1" applyBorder="1" applyAlignment="1">
      <alignment horizontal="center" vertical="top"/>
    </xf>
    <xf numFmtId="43" fontId="9" fillId="0" borderId="1" xfId="4" applyFont="1" applyFill="1" applyBorder="1" applyAlignment="1">
      <alignment horizontal="center" vertical="top"/>
    </xf>
    <xf numFmtId="4" fontId="9" fillId="0" borderId="1" xfId="0" applyNumberFormat="1" applyFont="1" applyBorder="1" applyAlignment="1">
      <alignment horizontal="center" vertical="top"/>
    </xf>
    <xf numFmtId="4" fontId="9" fillId="0" borderId="2" xfId="4" applyNumberFormat="1" applyFont="1" applyFill="1" applyBorder="1" applyAlignment="1">
      <alignment horizontal="center" vertical="top"/>
    </xf>
    <xf numFmtId="3" fontId="9" fillId="0" borderId="1" xfId="0" applyNumberFormat="1" applyFont="1" applyBorder="1" applyAlignment="1">
      <alignment horizontal="center" vertical="top"/>
    </xf>
    <xf numFmtId="4" fontId="9" fillId="0" borderId="1" xfId="4" applyNumberFormat="1" applyFont="1" applyFill="1" applyBorder="1" applyAlignment="1">
      <alignment horizontal="right" vertical="top"/>
    </xf>
    <xf numFmtId="4" fontId="9" fillId="0" borderId="1" xfId="4" applyNumberFormat="1" applyFont="1" applyFill="1" applyBorder="1" applyAlignment="1">
      <alignment horizontal="center" vertical="top"/>
    </xf>
    <xf numFmtId="3" fontId="11" fillId="0" borderId="13" xfId="0" applyNumberFormat="1" applyFont="1" applyBorder="1" applyAlignment="1">
      <alignment vertical="top"/>
    </xf>
    <xf numFmtId="4" fontId="11" fillId="0" borderId="13" xfId="0" applyNumberFormat="1" applyFont="1" applyBorder="1"/>
    <xf numFmtId="3" fontId="11" fillId="0" borderId="13" xfId="0" applyNumberFormat="1" applyFont="1" applyBorder="1"/>
    <xf numFmtId="4" fontId="9" fillId="0" borderId="13" xfId="0" applyNumberFormat="1" applyFont="1" applyBorder="1"/>
    <xf numFmtId="4" fontId="11" fillId="0" borderId="14" xfId="4" applyNumberFormat="1" applyFont="1" applyFill="1" applyBorder="1"/>
    <xf numFmtId="4" fontId="11" fillId="0" borderId="1" xfId="0" applyNumberFormat="1" applyFont="1" applyBorder="1"/>
    <xf numFmtId="4" fontId="11" fillId="0" borderId="2" xfId="4" applyNumberFormat="1" applyFont="1" applyFill="1" applyBorder="1" applyAlignment="1">
      <alignment horizontal="right"/>
    </xf>
    <xf numFmtId="4" fontId="11" fillId="0" borderId="1" xfId="4" applyNumberFormat="1" applyFont="1" applyFill="1" applyBorder="1"/>
    <xf numFmtId="167" fontId="2" fillId="0" borderId="1" xfId="1" applyNumberFormat="1" applyFont="1" applyBorder="1" applyAlignment="1">
      <alignment horizontal="center" vertical="center"/>
    </xf>
    <xf numFmtId="43" fontId="9" fillId="0" borderId="1" xfId="4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2" xfId="4" applyNumberFormat="1" applyFont="1" applyFill="1" applyBorder="1" applyAlignment="1">
      <alignment horizontal="center"/>
    </xf>
    <xf numFmtId="4" fontId="9" fillId="0" borderId="2" xfId="4" applyNumberFormat="1" applyFont="1" applyFill="1" applyBorder="1" applyAlignment="1">
      <alignment horizontal="right"/>
    </xf>
    <xf numFmtId="4" fontId="9" fillId="0" borderId="1" xfId="4" applyNumberFormat="1" applyFont="1" applyFill="1" applyBorder="1" applyAlignment="1">
      <alignment horizontal="center"/>
    </xf>
    <xf numFmtId="167" fontId="0" fillId="0" borderId="0" xfId="1" applyNumberFormat="1" applyFont="1" applyAlignment="1">
      <alignment horizontal="center" vertical="center"/>
    </xf>
    <xf numFmtId="3" fontId="9" fillId="0" borderId="13" xfId="0" applyNumberFormat="1" applyFont="1" applyBorder="1" applyAlignment="1">
      <alignment vertical="top"/>
    </xf>
    <xf numFmtId="3" fontId="9" fillId="0" borderId="13" xfId="0" applyNumberFormat="1" applyFont="1" applyBorder="1"/>
    <xf numFmtId="4" fontId="9" fillId="0" borderId="14" xfId="4" applyNumberFormat="1" applyFont="1" applyFill="1" applyBorder="1"/>
    <xf numFmtId="4" fontId="9" fillId="0" borderId="1" xfId="0" applyNumberFormat="1" applyFont="1" applyBorder="1"/>
    <xf numFmtId="4" fontId="9" fillId="0" borderId="1" xfId="4" applyNumberFormat="1" applyFont="1" applyFill="1" applyBorder="1"/>
    <xf numFmtId="4" fontId="0" fillId="0" borderId="0" xfId="0" applyNumberFormat="1"/>
    <xf numFmtId="3" fontId="7" fillId="0" borderId="13" xfId="0" applyNumberFormat="1" applyFont="1" applyBorder="1" applyAlignment="1">
      <alignment vertical="top"/>
    </xf>
    <xf numFmtId="4" fontId="7" fillId="0" borderId="13" xfId="0" applyNumberFormat="1" applyFont="1" applyBorder="1"/>
    <xf numFmtId="3" fontId="7" fillId="0" borderId="13" xfId="0" applyNumberFormat="1" applyFont="1" applyBorder="1"/>
    <xf numFmtId="43" fontId="7" fillId="0" borderId="1" xfId="4" applyFont="1" applyFill="1" applyBorder="1"/>
    <xf numFmtId="4" fontId="7" fillId="0" borderId="1" xfId="0" applyNumberFormat="1" applyFont="1" applyBorder="1"/>
    <xf numFmtId="4" fontId="7" fillId="0" borderId="2" xfId="4" applyNumberFormat="1" applyFont="1" applyFill="1" applyBorder="1"/>
    <xf numFmtId="4" fontId="7" fillId="0" borderId="2" xfId="4" applyNumberFormat="1" applyFont="1" applyFill="1" applyBorder="1" applyAlignment="1">
      <alignment horizontal="right"/>
    </xf>
    <xf numFmtId="4" fontId="7" fillId="0" borderId="1" xfId="4" applyNumberFormat="1" applyFont="1" applyFill="1" applyBorder="1"/>
    <xf numFmtId="4" fontId="9" fillId="0" borderId="14" xfId="0" applyNumberFormat="1" applyFont="1" applyBorder="1"/>
    <xf numFmtId="4" fontId="9" fillId="0" borderId="7" xfId="0" applyNumberFormat="1" applyFont="1" applyBorder="1"/>
    <xf numFmtId="43" fontId="9" fillId="0" borderId="8" xfId="4" applyFont="1" applyFill="1" applyBorder="1"/>
    <xf numFmtId="4" fontId="9" fillId="0" borderId="8" xfId="0" applyNumberFormat="1" applyFont="1" applyBorder="1"/>
    <xf numFmtId="4" fontId="9" fillId="0" borderId="15" xfId="4" applyNumberFormat="1" applyFont="1" applyFill="1" applyBorder="1"/>
    <xf numFmtId="4" fontId="11" fillId="0" borderId="2" xfId="4" applyNumberFormat="1" applyFont="1" applyFill="1" applyBorder="1"/>
    <xf numFmtId="4" fontId="12" fillId="0" borderId="0" xfId="4" applyNumberFormat="1" applyFont="1"/>
    <xf numFmtId="167" fontId="0" fillId="0" borderId="1" xfId="1" applyNumberFormat="1" applyFont="1" applyBorder="1" applyAlignment="1">
      <alignment horizontal="center" vertical="center"/>
    </xf>
    <xf numFmtId="43" fontId="9" fillId="0" borderId="1" xfId="4" applyFont="1" applyFill="1" applyBorder="1"/>
    <xf numFmtId="4" fontId="9" fillId="0" borderId="2" xfId="4" applyNumberFormat="1" applyFont="1" applyFill="1" applyBorder="1"/>
    <xf numFmtId="4" fontId="7" fillId="0" borderId="14" xfId="0" applyNumberFormat="1" applyFont="1" applyBorder="1"/>
    <xf numFmtId="0" fontId="9" fillId="0" borderId="13" xfId="0" applyFont="1" applyBorder="1" applyAlignment="1">
      <alignment vertical="top" wrapText="1"/>
    </xf>
    <xf numFmtId="4" fontId="7" fillId="0" borderId="6" xfId="0" applyNumberFormat="1" applyFont="1" applyBorder="1" applyAlignment="1">
      <alignment vertical="top"/>
    </xf>
    <xf numFmtId="4" fontId="7" fillId="0" borderId="6" xfId="0" applyNumberFormat="1" applyFont="1" applyBorder="1"/>
    <xf numFmtId="3" fontId="7" fillId="0" borderId="6" xfId="0" applyNumberFormat="1" applyFont="1" applyBorder="1"/>
    <xf numFmtId="3" fontId="9" fillId="0" borderId="14" xfId="0" applyNumberFormat="1" applyFont="1" applyBorder="1" applyAlignment="1">
      <alignment vertical="top"/>
    </xf>
    <xf numFmtId="3" fontId="9" fillId="0" borderId="1" xfId="0" applyNumberFormat="1" applyFont="1" applyBorder="1"/>
    <xf numFmtId="3" fontId="7" fillId="0" borderId="14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3" fontId="9" fillId="0" borderId="14" xfId="0" applyNumberFormat="1" applyFont="1" applyBorder="1" applyAlignment="1">
      <alignment horizontal="left" vertical="top"/>
    </xf>
    <xf numFmtId="4" fontId="13" fillId="0" borderId="1" xfId="0" applyNumberFormat="1" applyFont="1" applyBorder="1"/>
    <xf numFmtId="3" fontId="7" fillId="0" borderId="14" xfId="0" applyNumberFormat="1" applyFont="1" applyBorder="1" applyAlignment="1">
      <alignment horizontal="left" vertical="top"/>
    </xf>
    <xf numFmtId="4" fontId="12" fillId="0" borderId="2" xfId="0" applyNumberFormat="1" applyFont="1" applyBorder="1"/>
    <xf numFmtId="3" fontId="9" fillId="0" borderId="7" xfId="0" applyNumberFormat="1" applyFont="1" applyBorder="1" applyAlignment="1">
      <alignment horizontal="left" vertical="top"/>
    </xf>
    <xf numFmtId="4" fontId="13" fillId="0" borderId="15" xfId="0" applyNumberFormat="1" applyFont="1" applyBorder="1"/>
    <xf numFmtId="0" fontId="2" fillId="0" borderId="0" xfId="0" applyFont="1"/>
    <xf numFmtId="3" fontId="7" fillId="0" borderId="1" xfId="0" applyNumberFormat="1" applyFont="1" applyBorder="1" applyAlignment="1">
      <alignment horizontal="left" vertical="top"/>
    </xf>
    <xf numFmtId="4" fontId="12" fillId="0" borderId="1" xfId="0" applyNumberFormat="1" applyFont="1" applyBorder="1"/>
    <xf numFmtId="3" fontId="9" fillId="0" borderId="16" xfId="0" applyNumberFormat="1" applyFont="1" applyBorder="1" applyAlignment="1">
      <alignment horizontal="left" vertical="top"/>
    </xf>
    <xf numFmtId="4" fontId="13" fillId="0" borderId="17" xfId="0" applyNumberFormat="1" applyFont="1" applyBorder="1"/>
    <xf numFmtId="4" fontId="9" fillId="0" borderId="9" xfId="0" applyNumberFormat="1" applyFont="1" applyBorder="1"/>
    <xf numFmtId="4" fontId="9" fillId="0" borderId="16" xfId="0" applyNumberFormat="1" applyFont="1" applyBorder="1"/>
    <xf numFmtId="4" fontId="9" fillId="0" borderId="12" xfId="0" applyNumberFormat="1" applyFont="1" applyBorder="1"/>
    <xf numFmtId="4" fontId="13" fillId="0" borderId="12" xfId="0" applyNumberFormat="1" applyFont="1" applyBorder="1"/>
    <xf numFmtId="4" fontId="0" fillId="0" borderId="2" xfId="0" applyNumberFormat="1" applyBorder="1"/>
    <xf numFmtId="3" fontId="7" fillId="0" borderId="6" xfId="0" applyNumberFormat="1" applyFont="1" applyBorder="1" applyAlignment="1">
      <alignment vertical="top"/>
    </xf>
    <xf numFmtId="4" fontId="7" fillId="0" borderId="18" xfId="0" applyNumberFormat="1" applyFont="1" applyBorder="1"/>
    <xf numFmtId="3" fontId="9" fillId="0" borderId="1" xfId="0" applyNumberFormat="1" applyFont="1" applyBorder="1" applyAlignment="1">
      <alignment vertical="top"/>
    </xf>
    <xf numFmtId="4" fontId="9" fillId="0" borderId="19" xfId="0" applyNumberFormat="1" applyFont="1" applyBorder="1"/>
    <xf numFmtId="4" fontId="7" fillId="0" borderId="20" xfId="0" applyNumberFormat="1" applyFont="1" applyBorder="1"/>
    <xf numFmtId="3" fontId="7" fillId="0" borderId="8" xfId="0" applyNumberFormat="1" applyFont="1" applyBorder="1" applyAlignment="1">
      <alignment vertical="top"/>
    </xf>
    <xf numFmtId="167" fontId="0" fillId="0" borderId="8" xfId="1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top"/>
    </xf>
    <xf numFmtId="4" fontId="7" fillId="0" borderId="0" xfId="0" applyNumberFormat="1" applyFont="1" applyBorder="1"/>
    <xf numFmtId="164" fontId="2" fillId="0" borderId="0" xfId="0" applyNumberFormat="1" applyFont="1"/>
    <xf numFmtId="167" fontId="0" fillId="0" borderId="0" xfId="1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vertical="top"/>
    </xf>
    <xf numFmtId="4" fontId="7" fillId="0" borderId="12" xfId="0" applyNumberFormat="1" applyFont="1" applyBorder="1"/>
    <xf numFmtId="4" fontId="7" fillId="0" borderId="21" xfId="0" applyNumberFormat="1" applyFont="1" applyBorder="1"/>
    <xf numFmtId="3" fontId="7" fillId="0" borderId="9" xfId="0" applyNumberFormat="1" applyFont="1" applyBorder="1"/>
    <xf numFmtId="4" fontId="7" fillId="0" borderId="9" xfId="0" applyNumberFormat="1" applyFont="1" applyBorder="1"/>
    <xf numFmtId="167" fontId="0" fillId="0" borderId="12" xfId="1" applyNumberFormat="1" applyFont="1" applyBorder="1" applyAlignment="1">
      <alignment horizontal="center" vertical="center"/>
    </xf>
    <xf numFmtId="165" fontId="0" fillId="0" borderId="0" xfId="0" applyNumberFormat="1"/>
    <xf numFmtId="10" fontId="0" fillId="0" borderId="1" xfId="1" applyNumberFormat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10" fillId="4" borderId="6" xfId="4" applyNumberFormat="1" applyFont="1" applyFill="1" applyBorder="1" applyAlignment="1">
      <alignment horizontal="center" vertical="center"/>
    </xf>
    <xf numFmtId="4" fontId="10" fillId="4" borderId="10" xfId="4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4" borderId="9" xfId="0" applyNumberFormat="1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4" borderId="9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43" fontId="10" fillId="4" borderId="6" xfId="4" applyFont="1" applyFill="1" applyBorder="1" applyAlignment="1">
      <alignment horizontal="center" vertical="center"/>
    </xf>
    <xf numFmtId="43" fontId="10" fillId="4" borderId="10" xfId="4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4" fontId="10" fillId="4" borderId="10" xfId="0" applyNumberFormat="1" applyFont="1" applyFill="1" applyBorder="1" applyAlignment="1">
      <alignment horizontal="center" vertical="center"/>
    </xf>
    <xf numFmtId="4" fontId="10" fillId="4" borderId="8" xfId="4" applyNumberFormat="1" applyFont="1" applyFill="1" applyBorder="1" applyAlignment="1">
      <alignment horizontal="center" vertical="center"/>
    </xf>
    <xf numFmtId="4" fontId="10" fillId="4" borderId="12" xfId="4" applyNumberFormat="1" applyFont="1" applyFill="1" applyBorder="1" applyAlignment="1">
      <alignment horizontal="center" vertical="center"/>
    </xf>
    <xf numFmtId="4" fontId="10" fillId="4" borderId="8" xfId="0" applyNumberFormat="1" applyFont="1" applyFill="1" applyBorder="1" applyAlignment="1">
      <alignment horizontal="center" vertical="center" wrapText="1"/>
    </xf>
    <xf numFmtId="4" fontId="10" fillId="4" borderId="12" xfId="0" applyNumberFormat="1" applyFont="1" applyFill="1" applyBorder="1" applyAlignment="1">
      <alignment horizontal="center" vertical="center" wrapText="1"/>
    </xf>
    <xf numFmtId="3" fontId="10" fillId="4" borderId="10" xfId="0" applyNumberFormat="1" applyFont="1" applyFill="1" applyBorder="1" applyAlignment="1">
      <alignment horizontal="center" vertical="center"/>
    </xf>
    <xf numFmtId="4" fontId="10" fillId="4" borderId="7" xfId="4" applyNumberFormat="1" applyFont="1" applyFill="1" applyBorder="1" applyAlignment="1">
      <alignment horizontal="center" vertical="center"/>
    </xf>
    <xf numFmtId="4" fontId="10" fillId="4" borderId="11" xfId="4" applyNumberFormat="1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vertical="top"/>
    </xf>
    <xf numFmtId="3" fontId="9" fillId="0" borderId="0" xfId="0" applyNumberFormat="1" applyFont="1" applyFill="1" applyAlignment="1">
      <alignment vertical="top"/>
    </xf>
    <xf numFmtId="3" fontId="9" fillId="0" borderId="1" xfId="0" applyNumberFormat="1" applyFont="1" applyFill="1" applyBorder="1" applyAlignment="1">
      <alignment vertical="top"/>
    </xf>
  </cellXfs>
  <cellStyles count="5">
    <cellStyle name="Millares" xfId="4" builtinId="3"/>
    <cellStyle name="Moneda" xfId="3" builtinId="4"/>
    <cellStyle name="Normal" xfId="0" builtinId="0"/>
    <cellStyle name="Normal 2" xfId="2" xr:uid="{00000000-0005-0000-0000-000003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647839</xdr:colOff>
      <xdr:row>169</xdr:row>
      <xdr:rowOff>148478</xdr:rowOff>
    </xdr:from>
    <xdr:to>
      <xdr:col>2</xdr:col>
      <xdr:colOff>1068754</xdr:colOff>
      <xdr:row>171</xdr:row>
      <xdr:rowOff>72961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027" y="71526447"/>
          <a:ext cx="420915" cy="305483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250033</xdr:colOff>
      <xdr:row>0</xdr:row>
      <xdr:rowOff>0</xdr:rowOff>
    </xdr:from>
    <xdr:to>
      <xdr:col>2</xdr:col>
      <xdr:colOff>1857375</xdr:colOff>
      <xdr:row>0</xdr:row>
      <xdr:rowOff>985669</xdr:rowOff>
    </xdr:to>
    <xdr:pic>
      <xdr:nvPicPr>
        <xdr:cNvPr id="4" name="Imagen 3" descr="https://ider.gov.co/wp-content/uploads/2023/01/LOGO-IDER-01-1.png">
          <a:extLst>
            <a:ext uri="{FF2B5EF4-FFF2-40B4-BE49-F238E27FC236}">
              <a16:creationId xmlns:a16="http://schemas.microsoft.com/office/drawing/2014/main" id="{F3061B60-1802-4CAC-AEAA-703ACD37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9" y="0"/>
          <a:ext cx="3667124" cy="985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2807633</xdr:colOff>
      <xdr:row>74</xdr:row>
      <xdr:rowOff>167528</xdr:rowOff>
    </xdr:from>
    <xdr:to>
      <xdr:col>0</xdr:col>
      <xdr:colOff>3228548</xdr:colOff>
      <xdr:row>76</xdr:row>
      <xdr:rowOff>92011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EA0170C-59FB-4101-A548-129BA5E752D3}"/>
            </a:ext>
          </a:extLst>
        </xdr:cNvPr>
        <xdr:cNvPicPr/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633" y="14959853"/>
          <a:ext cx="420915" cy="305483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533400</xdr:colOff>
      <xdr:row>0</xdr:row>
      <xdr:rowOff>0</xdr:rowOff>
    </xdr:from>
    <xdr:to>
      <xdr:col>0</xdr:col>
      <xdr:colOff>3276600</xdr:colOff>
      <xdr:row>1</xdr:row>
      <xdr:rowOff>346807</xdr:rowOff>
    </xdr:to>
    <xdr:pic>
      <xdr:nvPicPr>
        <xdr:cNvPr id="4" name="Imagen 3" descr="https://ider.gov.co/wp-content/uploads/2023/01/LOGO-IDER-01-1.png">
          <a:extLst>
            <a:ext uri="{FF2B5EF4-FFF2-40B4-BE49-F238E27FC236}">
              <a16:creationId xmlns:a16="http://schemas.microsoft.com/office/drawing/2014/main" id="{D99D906D-78B7-4CC4-AD2A-598ED4DC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2743200" cy="737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1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E16" sqref="E16"/>
    </sheetView>
  </sheetViews>
  <sheetFormatPr baseColWidth="10" defaultColWidth="11.42578125" defaultRowHeight="15" x14ac:dyDescent="0.25"/>
  <cols>
    <col min="1" max="1" width="3" style="6" bestFit="1" customWidth="1"/>
    <col min="2" max="2" width="30.85546875" style="6" customWidth="1"/>
    <col min="3" max="3" width="51.7109375" style="7" customWidth="1"/>
    <col min="4" max="4" width="12.28515625" style="6" bestFit="1" customWidth="1"/>
    <col min="5" max="5" width="46.5703125" style="6" customWidth="1"/>
    <col min="6" max="6" width="20" style="5" customWidth="1"/>
    <col min="7" max="7" width="17.85546875" style="5" customWidth="1"/>
    <col min="8" max="8" width="18.7109375" style="5" customWidth="1"/>
    <col min="9" max="9" width="18.28515625" style="5" customWidth="1"/>
    <col min="10" max="10" width="6.85546875" style="5" customWidth="1"/>
    <col min="11" max="11" width="18.28515625" style="5" customWidth="1"/>
    <col min="12" max="12" width="18" style="5" customWidth="1"/>
    <col min="13" max="13" width="10.42578125" style="8" bestFit="1" customWidth="1"/>
    <col min="14" max="14" width="18" style="5" customWidth="1"/>
    <col min="15" max="15" width="17.85546875" style="6" bestFit="1" customWidth="1"/>
    <col min="16" max="16" width="16.7109375" style="6" bestFit="1" customWidth="1"/>
    <col min="17" max="19" width="11.42578125" style="6"/>
    <col min="20" max="20" width="15.5703125" style="6" bestFit="1" customWidth="1"/>
    <col min="21" max="21" width="17.85546875" style="6" bestFit="1" customWidth="1"/>
    <col min="22" max="16384" width="11.42578125" style="6"/>
  </cols>
  <sheetData>
    <row r="1" spans="1:15" ht="80.25" customHeight="1" x14ac:dyDescent="0.25">
      <c r="B1" s="140" t="s">
        <v>275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5" ht="60" x14ac:dyDescent="0.25">
      <c r="A2" s="21"/>
      <c r="B2" s="22" t="s">
        <v>0</v>
      </c>
      <c r="C2" s="22" t="s">
        <v>1</v>
      </c>
      <c r="D2" s="22" t="s">
        <v>2</v>
      </c>
      <c r="E2" s="22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4" t="s">
        <v>334</v>
      </c>
      <c r="N2" s="23" t="s">
        <v>335</v>
      </c>
    </row>
    <row r="3" spans="1:15" ht="15.75" customHeight="1" x14ac:dyDescent="0.25">
      <c r="A3" s="6">
        <v>1</v>
      </c>
      <c r="B3" s="18" t="s">
        <v>13</v>
      </c>
      <c r="C3" s="17" t="s">
        <v>14</v>
      </c>
      <c r="D3" s="19"/>
      <c r="E3" s="19"/>
      <c r="F3" s="19">
        <f>+F4+F72</f>
        <v>27469952847</v>
      </c>
      <c r="G3" s="19">
        <f>+G4+G72</f>
        <v>523938127.27999997</v>
      </c>
      <c r="H3" s="19">
        <f>+H4+H72</f>
        <v>523938127.27999997</v>
      </c>
      <c r="I3" s="19">
        <f>+I4+I72</f>
        <v>21487687932.370003</v>
      </c>
      <c r="J3" s="19">
        <v>0</v>
      </c>
      <c r="K3" s="19">
        <f>+K4+K72</f>
        <v>48957640779.370003</v>
      </c>
      <c r="L3" s="19">
        <f>+L4+L72</f>
        <v>38750408858.899994</v>
      </c>
      <c r="M3" s="20">
        <f>+L3/K3</f>
        <v>0.79150890937597673</v>
      </c>
      <c r="N3" s="19">
        <f>+N4+N72</f>
        <v>10207231920.469999</v>
      </c>
      <c r="O3" s="28"/>
    </row>
    <row r="4" spans="1:15" x14ac:dyDescent="0.25">
      <c r="A4" s="6">
        <v>2</v>
      </c>
      <c r="B4" s="18" t="s">
        <v>15</v>
      </c>
      <c r="C4" s="17" t="s">
        <v>16</v>
      </c>
      <c r="D4" s="19"/>
      <c r="E4" s="18"/>
      <c r="F4" s="19">
        <f>+F5+F32+F57+F61+F64</f>
        <v>6777068098</v>
      </c>
      <c r="G4" s="19">
        <f t="shared" ref="G4" si="0">+G5+G32+G57+G61+G64</f>
        <v>523938127.27999997</v>
      </c>
      <c r="H4" s="19">
        <f>+H5+H32+H57+H61+H64</f>
        <v>523938127.27999997</v>
      </c>
      <c r="I4" s="19">
        <f>+I5+I32+I57+I61+I64</f>
        <v>0</v>
      </c>
      <c r="J4" s="19">
        <v>0</v>
      </c>
      <c r="K4" s="19">
        <f>+K5+K32+K57+K61+K64</f>
        <v>6777068098</v>
      </c>
      <c r="L4" s="19">
        <f>+L5+L32+L57+L61+L64</f>
        <v>6126256920.9300003</v>
      </c>
      <c r="M4" s="20">
        <f t="shared" ref="M4:M65" si="1">+L4/K4</f>
        <v>0.90396862364979591</v>
      </c>
      <c r="N4" s="19">
        <f>+N5+N32+N57+N61+N64</f>
        <v>650811177.07000005</v>
      </c>
      <c r="O4" s="32"/>
    </row>
    <row r="5" spans="1:15" x14ac:dyDescent="0.25">
      <c r="A5" s="6">
        <v>3</v>
      </c>
      <c r="B5" s="14" t="s">
        <v>17</v>
      </c>
      <c r="C5" s="13" t="s">
        <v>18</v>
      </c>
      <c r="D5" s="14"/>
      <c r="E5" s="14"/>
      <c r="F5" s="15">
        <f>+F6</f>
        <v>3986262935</v>
      </c>
      <c r="G5" s="15">
        <f t="shared" ref="G5:H5" si="2">+G6</f>
        <v>167409606</v>
      </c>
      <c r="H5" s="15">
        <f t="shared" si="2"/>
        <v>364166462</v>
      </c>
      <c r="I5" s="15">
        <f>+I6</f>
        <v>0</v>
      </c>
      <c r="J5" s="15">
        <v>0</v>
      </c>
      <c r="K5" s="15">
        <f>+K6</f>
        <v>3789506079</v>
      </c>
      <c r="L5" s="15">
        <f>+L6</f>
        <v>3503484299</v>
      </c>
      <c r="M5" s="16">
        <f t="shared" si="1"/>
        <v>0.92452267550512091</v>
      </c>
      <c r="N5" s="15">
        <f>+N6</f>
        <v>286021780</v>
      </c>
    </row>
    <row r="6" spans="1:15" x14ac:dyDescent="0.25">
      <c r="A6" s="6">
        <v>4</v>
      </c>
      <c r="B6" s="14" t="s">
        <v>19</v>
      </c>
      <c r="C6" s="13" t="s">
        <v>20</v>
      </c>
      <c r="D6" s="14"/>
      <c r="E6" s="14"/>
      <c r="F6" s="15">
        <f>+F7+F17+F27</f>
        <v>3986262935</v>
      </c>
      <c r="G6" s="15">
        <f t="shared" ref="G6:H6" si="3">+G7+G17+G27</f>
        <v>167409606</v>
      </c>
      <c r="H6" s="15">
        <f t="shared" si="3"/>
        <v>364166462</v>
      </c>
      <c r="I6" s="15">
        <f>+I7+I17+I27</f>
        <v>0</v>
      </c>
      <c r="J6" s="15">
        <v>0</v>
      </c>
      <c r="K6" s="15">
        <f>+K7+K17+K27</f>
        <v>3789506079</v>
      </c>
      <c r="L6" s="15">
        <f>+L7+L17+L27</f>
        <v>3503484299</v>
      </c>
      <c r="M6" s="16">
        <f t="shared" si="1"/>
        <v>0.92452267550512091</v>
      </c>
      <c r="N6" s="15">
        <f>+N7+N17+N27</f>
        <v>286021780</v>
      </c>
    </row>
    <row r="7" spans="1:15" x14ac:dyDescent="0.25">
      <c r="A7" s="6">
        <v>5</v>
      </c>
      <c r="B7" s="14" t="s">
        <v>21</v>
      </c>
      <c r="C7"/>
      <c r="D7" s="14"/>
      <c r="E7" s="14"/>
      <c r="F7" s="15">
        <f>+F8</f>
        <v>2623600076</v>
      </c>
      <c r="G7" s="15">
        <f t="shared" ref="G7:H7" si="4">+G8</f>
        <v>128479706</v>
      </c>
      <c r="H7" s="15">
        <f t="shared" si="4"/>
        <v>109652914</v>
      </c>
      <c r="I7" s="15">
        <f>+I8</f>
        <v>0</v>
      </c>
      <c r="J7" s="15">
        <v>0</v>
      </c>
      <c r="K7" s="15">
        <f>+K8</f>
        <v>2642426868</v>
      </c>
      <c r="L7" s="15">
        <f>+L8</f>
        <v>2542865353</v>
      </c>
      <c r="M7" s="16">
        <f t="shared" si="1"/>
        <v>0.96232194116488223</v>
      </c>
      <c r="N7" s="15">
        <f>+N8</f>
        <v>99561515</v>
      </c>
    </row>
    <row r="8" spans="1:15" x14ac:dyDescent="0.25">
      <c r="A8" s="6">
        <v>6</v>
      </c>
      <c r="B8" s="14" t="s">
        <v>22</v>
      </c>
      <c r="C8" s="13" t="s">
        <v>23</v>
      </c>
      <c r="D8" s="14"/>
      <c r="E8" s="14"/>
      <c r="F8" s="15">
        <f>SUM(F9:F14)</f>
        <v>2623600076</v>
      </c>
      <c r="G8" s="15">
        <f t="shared" ref="G8:H8" si="5">SUM(G9:G14)</f>
        <v>128479706</v>
      </c>
      <c r="H8" s="15">
        <f t="shared" si="5"/>
        <v>109652914</v>
      </c>
      <c r="I8" s="15">
        <f>SUM(I9:I14)</f>
        <v>0</v>
      </c>
      <c r="J8" s="15">
        <v>0</v>
      </c>
      <c r="K8" s="15">
        <f>SUM(K9:K14)</f>
        <v>2642426868</v>
      </c>
      <c r="L8" s="15">
        <f>SUM(L9:L14)</f>
        <v>2542865353</v>
      </c>
      <c r="M8" s="16">
        <f t="shared" si="1"/>
        <v>0.96232194116488223</v>
      </c>
      <c r="N8" s="15">
        <f>SUM(N9:N14)</f>
        <v>99561515</v>
      </c>
    </row>
    <row r="9" spans="1:15" x14ac:dyDescent="0.25">
      <c r="A9" s="6">
        <v>7</v>
      </c>
      <c r="B9" s="1" t="s">
        <v>24</v>
      </c>
      <c r="C9" s="2" t="s">
        <v>25</v>
      </c>
      <c r="D9" s="1" t="s">
        <v>26</v>
      </c>
      <c r="E9" s="1" t="s">
        <v>27</v>
      </c>
      <c r="F9" s="3">
        <v>2144094723</v>
      </c>
      <c r="G9" s="34">
        <v>109652914</v>
      </c>
      <c r="H9" s="3">
        <v>109652914</v>
      </c>
      <c r="I9" s="3">
        <v>0</v>
      </c>
      <c r="J9" s="3">
        <v>0</v>
      </c>
      <c r="K9" s="3">
        <f>+F9+G9-H9+I9-J9</f>
        <v>2144094723</v>
      </c>
      <c r="L9" s="29">
        <v>2075721237</v>
      </c>
      <c r="M9" s="4">
        <f t="shared" si="1"/>
        <v>0.96811079041119397</v>
      </c>
      <c r="N9" s="3">
        <f>+K9-L9</f>
        <v>68373486</v>
      </c>
      <c r="O9" s="5"/>
    </row>
    <row r="10" spans="1:15" x14ac:dyDescent="0.25">
      <c r="A10" s="6">
        <v>8</v>
      </c>
      <c r="B10" s="1" t="s">
        <v>28</v>
      </c>
      <c r="C10" s="2" t="s">
        <v>29</v>
      </c>
      <c r="D10" s="1" t="s">
        <v>26</v>
      </c>
      <c r="E10" s="1" t="s">
        <v>27</v>
      </c>
      <c r="F10" s="3">
        <v>991470</v>
      </c>
      <c r="G10" s="3">
        <v>0</v>
      </c>
      <c r="H10" s="3">
        <v>0</v>
      </c>
      <c r="I10" s="3">
        <v>0</v>
      </c>
      <c r="J10" s="3">
        <v>0</v>
      </c>
      <c r="K10" s="3">
        <f t="shared" ref="K10:K13" si="6">+F10+G10-H10+I10-J10</f>
        <v>991470</v>
      </c>
      <c r="L10" s="29">
        <v>878323</v>
      </c>
      <c r="M10" s="4">
        <f t="shared" si="1"/>
        <v>0.88587955258353757</v>
      </c>
      <c r="N10" s="3">
        <f t="shared" ref="N10:N13" si="7">+K10-L10</f>
        <v>113147</v>
      </c>
      <c r="O10" s="5"/>
    </row>
    <row r="11" spans="1:15" x14ac:dyDescent="0.25">
      <c r="A11" s="6">
        <v>9</v>
      </c>
      <c r="B11" s="1" t="s">
        <v>30</v>
      </c>
      <c r="C11" s="2" t="s">
        <v>31</v>
      </c>
      <c r="D11" s="1" t="s">
        <v>26</v>
      </c>
      <c r="E11" s="1" t="s">
        <v>27</v>
      </c>
      <c r="F11" s="3">
        <v>1546670</v>
      </c>
      <c r="G11" s="3">
        <v>0</v>
      </c>
      <c r="H11" s="3">
        <v>0</v>
      </c>
      <c r="I11" s="3">
        <v>0</v>
      </c>
      <c r="J11" s="3">
        <v>0</v>
      </c>
      <c r="K11" s="3">
        <f t="shared" si="6"/>
        <v>1546670</v>
      </c>
      <c r="L11" s="29">
        <v>1481050</v>
      </c>
      <c r="M11" s="4">
        <f t="shared" si="1"/>
        <v>0.9575733672987774</v>
      </c>
      <c r="N11" s="3">
        <f t="shared" si="7"/>
        <v>65620</v>
      </c>
      <c r="O11" s="5"/>
    </row>
    <row r="12" spans="1:15" x14ac:dyDescent="0.25">
      <c r="A12" s="6">
        <v>10</v>
      </c>
      <c r="B12" s="1" t="s">
        <v>32</v>
      </c>
      <c r="C12" s="2" t="s">
        <v>33</v>
      </c>
      <c r="D12" s="1" t="s">
        <v>26</v>
      </c>
      <c r="E12" s="1" t="s">
        <v>27</v>
      </c>
      <c r="F12" s="3">
        <v>91942951</v>
      </c>
      <c r="G12" s="3">
        <v>2122497</v>
      </c>
      <c r="H12" s="3">
        <v>0</v>
      </c>
      <c r="I12" s="3">
        <v>0</v>
      </c>
      <c r="J12" s="3">
        <v>0</v>
      </c>
      <c r="K12" s="3">
        <f t="shared" si="6"/>
        <v>94065448</v>
      </c>
      <c r="L12" s="29">
        <v>92170905</v>
      </c>
      <c r="M12" s="4">
        <f t="shared" si="1"/>
        <v>0.97985931029638007</v>
      </c>
      <c r="N12" s="3">
        <f t="shared" si="7"/>
        <v>1894543</v>
      </c>
    </row>
    <row r="13" spans="1:15" x14ac:dyDescent="0.25">
      <c r="A13" s="6">
        <v>11</v>
      </c>
      <c r="B13" s="1" t="s">
        <v>34</v>
      </c>
      <c r="C13" s="2" t="s">
        <v>35</v>
      </c>
      <c r="D13" s="1" t="s">
        <v>26</v>
      </c>
      <c r="E13" s="1" t="s">
        <v>27</v>
      </c>
      <c r="F13" s="3">
        <v>62536096</v>
      </c>
      <c r="G13" s="3">
        <v>4082729</v>
      </c>
      <c r="H13" s="3">
        <v>0</v>
      </c>
      <c r="I13" s="3">
        <v>0</v>
      </c>
      <c r="J13" s="3">
        <v>0</v>
      </c>
      <c r="K13" s="3">
        <f t="shared" si="6"/>
        <v>66618825</v>
      </c>
      <c r="L13" s="29">
        <v>63968751</v>
      </c>
      <c r="M13" s="4">
        <f t="shared" si="1"/>
        <v>0.96022034312373417</v>
      </c>
      <c r="N13" s="3">
        <f t="shared" si="7"/>
        <v>2650074</v>
      </c>
    </row>
    <row r="14" spans="1:15" x14ac:dyDescent="0.25">
      <c r="A14" s="25">
        <v>12</v>
      </c>
      <c r="B14" s="14" t="s">
        <v>36</v>
      </c>
      <c r="C14" s="13" t="s">
        <v>37</v>
      </c>
      <c r="D14" s="14"/>
      <c r="E14" s="14"/>
      <c r="F14" s="15">
        <f>+F15+F16</f>
        <v>322488166</v>
      </c>
      <c r="G14" s="15">
        <f t="shared" ref="G14:L14" si="8">+G15+G16</f>
        <v>12621566</v>
      </c>
      <c r="H14" s="15">
        <f t="shared" si="8"/>
        <v>0</v>
      </c>
      <c r="I14" s="15">
        <f t="shared" si="8"/>
        <v>0</v>
      </c>
      <c r="J14" s="15">
        <f t="shared" si="8"/>
        <v>0</v>
      </c>
      <c r="K14" s="15">
        <f t="shared" si="8"/>
        <v>335109732</v>
      </c>
      <c r="L14" s="15">
        <f t="shared" si="8"/>
        <v>308645087</v>
      </c>
      <c r="M14" s="16">
        <f t="shared" si="1"/>
        <v>0.92102692797951924</v>
      </c>
      <c r="N14" s="15">
        <f>+N15+N16</f>
        <v>26464645</v>
      </c>
    </row>
    <row r="15" spans="1:15" x14ac:dyDescent="0.25">
      <c r="A15" s="6">
        <v>13</v>
      </c>
      <c r="B15" s="1" t="s">
        <v>38</v>
      </c>
      <c r="C15" s="2" t="s">
        <v>39</v>
      </c>
      <c r="D15" s="1" t="s">
        <v>26</v>
      </c>
      <c r="E15" s="1" t="s">
        <v>27</v>
      </c>
      <c r="F15" s="3">
        <v>199938925</v>
      </c>
      <c r="G15" s="3">
        <v>12621566</v>
      </c>
      <c r="H15" s="3">
        <v>0</v>
      </c>
      <c r="I15" s="3">
        <v>0</v>
      </c>
      <c r="J15" s="3">
        <v>0</v>
      </c>
      <c r="K15" s="3">
        <f t="shared" ref="K15:K16" si="9">+F15+G15-H15+I15-J15</f>
        <v>212560491</v>
      </c>
      <c r="L15" s="29">
        <v>203754620</v>
      </c>
      <c r="M15" s="4">
        <f t="shared" si="1"/>
        <v>0.95857239998565869</v>
      </c>
      <c r="N15" s="3">
        <f t="shared" ref="N15:N16" si="10">+K15-L15</f>
        <v>8805871</v>
      </c>
    </row>
    <row r="16" spans="1:15" x14ac:dyDescent="0.25">
      <c r="A16" s="6">
        <v>14</v>
      </c>
      <c r="B16" s="1" t="s">
        <v>40</v>
      </c>
      <c r="C16" s="2" t="s">
        <v>41</v>
      </c>
      <c r="D16" s="1" t="s">
        <v>26</v>
      </c>
      <c r="E16" s="1" t="s">
        <v>27</v>
      </c>
      <c r="F16" s="3">
        <v>122549241</v>
      </c>
      <c r="G16" s="3">
        <v>0</v>
      </c>
      <c r="H16" s="3">
        <v>0</v>
      </c>
      <c r="I16" s="3">
        <v>0</v>
      </c>
      <c r="J16" s="3">
        <v>0</v>
      </c>
      <c r="K16" s="3">
        <f t="shared" si="9"/>
        <v>122549241</v>
      </c>
      <c r="L16" s="29">
        <v>104890467</v>
      </c>
      <c r="M16" s="4">
        <f t="shared" si="1"/>
        <v>0.8559046644768693</v>
      </c>
      <c r="N16" s="3">
        <f t="shared" si="10"/>
        <v>17658774</v>
      </c>
    </row>
    <row r="17" spans="1:15" x14ac:dyDescent="0.25">
      <c r="A17" s="6">
        <v>15</v>
      </c>
      <c r="B17" s="14" t="s">
        <v>42</v>
      </c>
      <c r="C17" s="13" t="s">
        <v>43</v>
      </c>
      <c r="D17" s="14"/>
      <c r="E17" s="14"/>
      <c r="F17" s="15">
        <f>SUM(F18:F26)</f>
        <v>1202868468</v>
      </c>
      <c r="G17" s="15">
        <f t="shared" ref="G17:J17" si="11">SUM(G18:G26)</f>
        <v>38929900</v>
      </c>
      <c r="H17" s="15">
        <f t="shared" si="11"/>
        <v>254513548</v>
      </c>
      <c r="I17" s="15">
        <f t="shared" si="11"/>
        <v>0</v>
      </c>
      <c r="J17" s="15">
        <f t="shared" si="11"/>
        <v>0</v>
      </c>
      <c r="K17" s="15">
        <f>SUM(K18:K26)</f>
        <v>987284820</v>
      </c>
      <c r="L17" s="15">
        <f>SUM(L18:L26)</f>
        <v>832717229</v>
      </c>
      <c r="M17" s="16">
        <f t="shared" si="1"/>
        <v>0.84344174257637228</v>
      </c>
      <c r="N17" s="15">
        <f>SUM(N18:N26)</f>
        <v>154567591</v>
      </c>
    </row>
    <row r="18" spans="1:15" x14ac:dyDescent="0.25">
      <c r="A18" s="6">
        <v>16</v>
      </c>
      <c r="B18" s="1" t="s">
        <v>44</v>
      </c>
      <c r="C18" s="2" t="s">
        <v>45</v>
      </c>
      <c r="D18" s="1" t="s">
        <v>26</v>
      </c>
      <c r="E18" s="1" t="s">
        <v>27</v>
      </c>
      <c r="F18" s="3">
        <v>290650800</v>
      </c>
      <c r="G18" s="3">
        <v>0</v>
      </c>
      <c r="H18" s="3">
        <v>0</v>
      </c>
      <c r="I18" s="3">
        <v>0</v>
      </c>
      <c r="J18" s="3">
        <v>0</v>
      </c>
      <c r="K18" s="3">
        <f t="shared" ref="K18:K26" si="12">+F18+G18-H18+I18-J18</f>
        <v>290650800</v>
      </c>
      <c r="L18" s="29">
        <v>246019708</v>
      </c>
      <c r="M18" s="4">
        <f t="shared" si="1"/>
        <v>0.84644428296773999</v>
      </c>
      <c r="N18" s="3">
        <f t="shared" ref="N18:N26" si="13">+K18-L18</f>
        <v>44631092</v>
      </c>
    </row>
    <row r="19" spans="1:15" x14ac:dyDescent="0.25">
      <c r="A19" s="6">
        <v>17</v>
      </c>
      <c r="B19" s="1" t="s">
        <v>46</v>
      </c>
      <c r="C19" s="2" t="s">
        <v>47</v>
      </c>
      <c r="D19" s="1" t="s">
        <v>26</v>
      </c>
      <c r="E19" s="1" t="s">
        <v>27</v>
      </c>
      <c r="F19" s="3">
        <v>205879200</v>
      </c>
      <c r="G19" s="3">
        <v>0</v>
      </c>
      <c r="H19" s="3">
        <v>0</v>
      </c>
      <c r="I19" s="3">
        <v>0</v>
      </c>
      <c r="J19" s="3">
        <v>0</v>
      </c>
      <c r="K19" s="3">
        <f t="shared" si="12"/>
        <v>205879200</v>
      </c>
      <c r="L19" s="29">
        <v>174226009</v>
      </c>
      <c r="M19" s="4">
        <f t="shared" si="1"/>
        <v>0.84625357491189013</v>
      </c>
      <c r="N19" s="3">
        <f t="shared" si="13"/>
        <v>31653191</v>
      </c>
    </row>
    <row r="20" spans="1:15" x14ac:dyDescent="0.25">
      <c r="A20" s="6">
        <v>18</v>
      </c>
      <c r="B20" s="1" t="s">
        <v>48</v>
      </c>
      <c r="C20" s="2" t="s">
        <v>49</v>
      </c>
      <c r="D20" s="1" t="s">
        <v>26</v>
      </c>
      <c r="E20" s="1" t="s">
        <v>27</v>
      </c>
      <c r="F20" s="3">
        <v>474565522</v>
      </c>
      <c r="G20" s="3">
        <v>0</v>
      </c>
      <c r="H20" s="3">
        <v>253366202</v>
      </c>
      <c r="I20" s="3">
        <v>0</v>
      </c>
      <c r="J20" s="3">
        <v>0</v>
      </c>
      <c r="K20" s="3">
        <f t="shared" si="12"/>
        <v>221199320</v>
      </c>
      <c r="L20" s="29">
        <v>186577512</v>
      </c>
      <c r="M20" s="4">
        <f t="shared" si="1"/>
        <v>0.84348139949073986</v>
      </c>
      <c r="N20" s="3">
        <f t="shared" si="13"/>
        <v>34621808</v>
      </c>
      <c r="O20" s="5"/>
    </row>
    <row r="21" spans="1:15" x14ac:dyDescent="0.25">
      <c r="A21" s="6">
        <v>19</v>
      </c>
      <c r="B21" s="1" t="s">
        <v>50</v>
      </c>
      <c r="C21" s="2" t="s">
        <v>51</v>
      </c>
      <c r="D21" s="1" t="s">
        <v>26</v>
      </c>
      <c r="E21" s="1" t="s">
        <v>27</v>
      </c>
      <c r="F21" s="3">
        <v>96884400</v>
      </c>
      <c r="G21" s="3">
        <v>0</v>
      </c>
      <c r="H21" s="3">
        <v>0</v>
      </c>
      <c r="I21" s="3">
        <v>0</v>
      </c>
      <c r="J21" s="3">
        <v>0</v>
      </c>
      <c r="K21" s="3">
        <f t="shared" si="12"/>
        <v>96884400</v>
      </c>
      <c r="L21" s="29">
        <v>80058300</v>
      </c>
      <c r="M21" s="4">
        <f t="shared" si="1"/>
        <v>0.82632807758524596</v>
      </c>
      <c r="N21" s="3">
        <f t="shared" si="13"/>
        <v>16826100</v>
      </c>
      <c r="O21" s="5"/>
    </row>
    <row r="22" spans="1:15" x14ac:dyDescent="0.25">
      <c r="A22" s="6">
        <v>20</v>
      </c>
      <c r="B22" s="1" t="s">
        <v>52</v>
      </c>
      <c r="C22" s="2" t="s">
        <v>53</v>
      </c>
      <c r="D22" s="1" t="s">
        <v>26</v>
      </c>
      <c r="E22" s="1" t="s">
        <v>27</v>
      </c>
      <c r="F22" s="3">
        <v>12640800</v>
      </c>
      <c r="G22" s="3">
        <v>38929900</v>
      </c>
      <c r="H22" s="3">
        <v>0</v>
      </c>
      <c r="I22" s="3">
        <v>0</v>
      </c>
      <c r="J22" s="3">
        <v>0</v>
      </c>
      <c r="K22" s="3">
        <f t="shared" si="12"/>
        <v>51570700</v>
      </c>
      <c r="L22" s="29">
        <v>45753200</v>
      </c>
      <c r="M22" s="4">
        <f t="shared" si="1"/>
        <v>0.88719369719627617</v>
      </c>
      <c r="N22" s="3">
        <f t="shared" si="13"/>
        <v>5817500</v>
      </c>
    </row>
    <row r="23" spans="1:15" x14ac:dyDescent="0.25">
      <c r="A23" s="6">
        <v>21</v>
      </c>
      <c r="B23" s="1" t="s">
        <v>54</v>
      </c>
      <c r="C23" s="2" t="s">
        <v>55</v>
      </c>
      <c r="D23" s="1" t="s">
        <v>26</v>
      </c>
      <c r="E23" s="1" t="s">
        <v>27</v>
      </c>
      <c r="F23" s="3">
        <v>72661200</v>
      </c>
      <c r="G23" s="3">
        <v>0</v>
      </c>
      <c r="H23" s="3">
        <v>0</v>
      </c>
      <c r="I23" s="3">
        <v>0</v>
      </c>
      <c r="J23" s="3">
        <v>0</v>
      </c>
      <c r="K23" s="3">
        <f t="shared" si="12"/>
        <v>72661200</v>
      </c>
      <c r="L23" s="29">
        <v>60046900</v>
      </c>
      <c r="M23" s="4">
        <f t="shared" si="1"/>
        <v>0.82639565545297899</v>
      </c>
      <c r="N23" s="3">
        <f t="shared" si="13"/>
        <v>12614300</v>
      </c>
    </row>
    <row r="24" spans="1:15" x14ac:dyDescent="0.25">
      <c r="A24" s="6">
        <v>22</v>
      </c>
      <c r="B24" s="1" t="s">
        <v>56</v>
      </c>
      <c r="C24" s="2" t="s">
        <v>57</v>
      </c>
      <c r="D24" s="1" t="s">
        <v>26</v>
      </c>
      <c r="E24" s="1" t="s">
        <v>27</v>
      </c>
      <c r="F24" s="3">
        <v>48439200</v>
      </c>
      <c r="G24" s="3">
        <v>0</v>
      </c>
      <c r="H24" s="3">
        <v>0</v>
      </c>
      <c r="I24" s="3">
        <v>0</v>
      </c>
      <c r="J24" s="3">
        <v>0</v>
      </c>
      <c r="K24" s="3">
        <f t="shared" si="12"/>
        <v>48439200</v>
      </c>
      <c r="L24" s="29">
        <v>40035600</v>
      </c>
      <c r="M24" s="4">
        <f t="shared" si="1"/>
        <v>0.82651241143536636</v>
      </c>
      <c r="N24" s="3">
        <f t="shared" si="13"/>
        <v>8403600</v>
      </c>
    </row>
    <row r="25" spans="1:15" x14ac:dyDescent="0.25">
      <c r="A25" s="6">
        <v>23</v>
      </c>
      <c r="B25" s="1" t="s">
        <v>58</v>
      </c>
      <c r="C25" s="2" t="s">
        <v>59</v>
      </c>
      <c r="D25" s="1" t="s">
        <v>26</v>
      </c>
      <c r="E25" s="1" t="s">
        <v>27</v>
      </c>
      <c r="F25" s="3">
        <v>756682</v>
      </c>
      <c r="G25" s="3">
        <v>0</v>
      </c>
      <c r="H25" s="3">
        <v>756682</v>
      </c>
      <c r="I25" s="3">
        <v>0</v>
      </c>
      <c r="J25" s="3">
        <v>0</v>
      </c>
      <c r="K25" s="3">
        <f t="shared" si="12"/>
        <v>0</v>
      </c>
      <c r="L25" s="29">
        <v>0</v>
      </c>
      <c r="M25" s="4" t="e">
        <f t="shared" si="1"/>
        <v>#DIV/0!</v>
      </c>
      <c r="N25" s="3">
        <f t="shared" si="13"/>
        <v>0</v>
      </c>
    </row>
    <row r="26" spans="1:15" x14ac:dyDescent="0.25">
      <c r="A26" s="6">
        <v>24</v>
      </c>
      <c r="B26" s="1" t="s">
        <v>60</v>
      </c>
      <c r="C26" s="2" t="s">
        <v>61</v>
      </c>
      <c r="D26" s="1" t="s">
        <v>26</v>
      </c>
      <c r="E26" s="1" t="s">
        <v>27</v>
      </c>
      <c r="F26" s="3">
        <v>390664</v>
      </c>
      <c r="G26" s="3">
        <v>0</v>
      </c>
      <c r="H26" s="3">
        <v>390664</v>
      </c>
      <c r="I26" s="3">
        <v>0</v>
      </c>
      <c r="J26" s="3">
        <v>0</v>
      </c>
      <c r="K26" s="3">
        <f t="shared" si="12"/>
        <v>0</v>
      </c>
      <c r="L26" s="29">
        <v>0</v>
      </c>
      <c r="M26" s="4" t="e">
        <f t="shared" si="1"/>
        <v>#DIV/0!</v>
      </c>
      <c r="N26" s="3">
        <f t="shared" si="13"/>
        <v>0</v>
      </c>
    </row>
    <row r="27" spans="1:15" x14ac:dyDescent="0.25">
      <c r="A27" s="6">
        <v>25</v>
      </c>
      <c r="B27" s="14" t="s">
        <v>62</v>
      </c>
      <c r="C27" s="13" t="s">
        <v>63</v>
      </c>
      <c r="D27" s="14"/>
      <c r="E27" s="14"/>
      <c r="F27" s="15">
        <f>+F28</f>
        <v>159794391</v>
      </c>
      <c r="G27" s="15">
        <f t="shared" ref="G27:L27" si="14">+G28</f>
        <v>0</v>
      </c>
      <c r="H27" s="15">
        <f t="shared" si="14"/>
        <v>0</v>
      </c>
      <c r="I27" s="15">
        <f t="shared" si="14"/>
        <v>0</v>
      </c>
      <c r="J27" s="15">
        <f t="shared" si="14"/>
        <v>0</v>
      </c>
      <c r="K27" s="15">
        <f t="shared" si="14"/>
        <v>159794391</v>
      </c>
      <c r="L27" s="15">
        <f t="shared" si="14"/>
        <v>127901717</v>
      </c>
      <c r="M27" s="16">
        <f t="shared" si="1"/>
        <v>0.8004143086599329</v>
      </c>
      <c r="N27" s="15">
        <f>+N28</f>
        <v>31892674</v>
      </c>
    </row>
    <row r="28" spans="1:15" x14ac:dyDescent="0.25">
      <c r="A28" s="6">
        <v>26</v>
      </c>
      <c r="B28" s="14" t="s">
        <v>64</v>
      </c>
      <c r="C28" s="13" t="s">
        <v>37</v>
      </c>
      <c r="D28" s="14"/>
      <c r="E28" s="14"/>
      <c r="F28" s="15">
        <f>SUM(F29:F31)</f>
        <v>159794391</v>
      </c>
      <c r="G28" s="15">
        <f t="shared" ref="G28:K28" si="15">SUM(G29:G31)</f>
        <v>0</v>
      </c>
      <c r="H28" s="15">
        <f t="shared" si="15"/>
        <v>0</v>
      </c>
      <c r="I28" s="15">
        <f t="shared" si="15"/>
        <v>0</v>
      </c>
      <c r="J28" s="15">
        <f t="shared" si="15"/>
        <v>0</v>
      </c>
      <c r="K28" s="15">
        <f t="shared" si="15"/>
        <v>159794391</v>
      </c>
      <c r="L28" s="15">
        <f>SUM(L29:L31)</f>
        <v>127901717</v>
      </c>
      <c r="M28" s="16">
        <f t="shared" si="1"/>
        <v>0.8004143086599329</v>
      </c>
      <c r="N28" s="15">
        <f>SUM(N29:N31)</f>
        <v>31892674</v>
      </c>
    </row>
    <row r="29" spans="1:15" x14ac:dyDescent="0.25">
      <c r="A29" s="6">
        <v>27</v>
      </c>
      <c r="B29" s="1" t="s">
        <v>65</v>
      </c>
      <c r="C29" s="2" t="s">
        <v>66</v>
      </c>
      <c r="D29" s="1" t="s">
        <v>26</v>
      </c>
      <c r="E29" s="1" t="s">
        <v>27</v>
      </c>
      <c r="F29" s="3">
        <v>134576279</v>
      </c>
      <c r="G29" s="3">
        <v>0</v>
      </c>
      <c r="H29" s="3">
        <v>0</v>
      </c>
      <c r="I29" s="3">
        <v>0</v>
      </c>
      <c r="J29" s="3">
        <v>0</v>
      </c>
      <c r="K29" s="3">
        <f t="shared" ref="K29:K31" si="16">+F29+G29-H29+I29-J29</f>
        <v>134576279</v>
      </c>
      <c r="L29" s="29">
        <v>109415597</v>
      </c>
      <c r="M29" s="4">
        <f t="shared" si="1"/>
        <v>0.81303776425561591</v>
      </c>
      <c r="N29" s="3">
        <f t="shared" ref="N29:N31" si="17">+K29-L29</f>
        <v>25160682</v>
      </c>
    </row>
    <row r="30" spans="1:15" x14ac:dyDescent="0.25">
      <c r="A30" s="6">
        <v>28</v>
      </c>
      <c r="B30" s="1" t="s">
        <v>67</v>
      </c>
      <c r="C30" s="2" t="s">
        <v>68</v>
      </c>
      <c r="D30" s="1" t="s">
        <v>26</v>
      </c>
      <c r="E30" s="1" t="s">
        <v>27</v>
      </c>
      <c r="F30" s="3">
        <v>13306475</v>
      </c>
      <c r="G30" s="3">
        <v>0</v>
      </c>
      <c r="H30" s="3">
        <v>0</v>
      </c>
      <c r="I30" s="3">
        <v>0</v>
      </c>
      <c r="J30" s="3">
        <v>0</v>
      </c>
      <c r="K30" s="3">
        <f t="shared" si="16"/>
        <v>13306475</v>
      </c>
      <c r="L30" s="29">
        <v>7977648</v>
      </c>
      <c r="M30" s="4">
        <f t="shared" si="1"/>
        <v>0.59953128082380946</v>
      </c>
      <c r="N30" s="3">
        <f t="shared" si="17"/>
        <v>5328827</v>
      </c>
    </row>
    <row r="31" spans="1:15" x14ac:dyDescent="0.25">
      <c r="A31" s="6">
        <v>29</v>
      </c>
      <c r="B31" s="1" t="s">
        <v>69</v>
      </c>
      <c r="C31" s="2" t="s">
        <v>70</v>
      </c>
      <c r="D31" s="1" t="s">
        <v>26</v>
      </c>
      <c r="E31" s="1" t="s">
        <v>27</v>
      </c>
      <c r="F31" s="3">
        <v>11911637</v>
      </c>
      <c r="G31" s="3">
        <v>0</v>
      </c>
      <c r="H31" s="3">
        <v>0</v>
      </c>
      <c r="I31" s="3">
        <v>0</v>
      </c>
      <c r="J31" s="3">
        <v>0</v>
      </c>
      <c r="K31" s="3">
        <f t="shared" si="16"/>
        <v>11911637</v>
      </c>
      <c r="L31" s="29">
        <v>10508472</v>
      </c>
      <c r="M31" s="4">
        <f t="shared" si="1"/>
        <v>0.88220216918967564</v>
      </c>
      <c r="N31" s="3">
        <f t="shared" si="17"/>
        <v>1403165</v>
      </c>
    </row>
    <row r="32" spans="1:15" x14ac:dyDescent="0.25">
      <c r="A32" s="6">
        <v>30</v>
      </c>
      <c r="B32" s="14" t="s">
        <v>71</v>
      </c>
      <c r="C32" s="13" t="s">
        <v>72</v>
      </c>
      <c r="D32" s="14"/>
      <c r="E32" s="14"/>
      <c r="F32" s="15">
        <f>+F33+F38</f>
        <v>2604739818</v>
      </c>
      <c r="G32" s="15">
        <f t="shared" ref="G32:K32" si="18">+G33+G38</f>
        <v>225771665.28</v>
      </c>
      <c r="H32" s="15">
        <f t="shared" si="18"/>
        <v>159771665.28</v>
      </c>
      <c r="I32" s="15">
        <f t="shared" si="18"/>
        <v>0</v>
      </c>
      <c r="J32" s="15">
        <f t="shared" si="18"/>
        <v>0</v>
      </c>
      <c r="K32" s="15">
        <f t="shared" si="18"/>
        <v>2670739818</v>
      </c>
      <c r="L32" s="15">
        <f>+L33+L38</f>
        <v>2345459668.9299998</v>
      </c>
      <c r="M32" s="16">
        <f t="shared" si="1"/>
        <v>0.87820597615772689</v>
      </c>
      <c r="N32" s="15">
        <f>+N33+N38</f>
        <v>325280149.07000005</v>
      </c>
    </row>
    <row r="33" spans="1:14" x14ac:dyDescent="0.25">
      <c r="A33" s="6">
        <v>31</v>
      </c>
      <c r="B33" s="14" t="s">
        <v>73</v>
      </c>
      <c r="C33" s="13" t="s">
        <v>74</v>
      </c>
      <c r="D33" s="14"/>
      <c r="E33" s="14"/>
      <c r="F33" s="15">
        <f>+F34</f>
        <v>131180667</v>
      </c>
      <c r="G33" s="15">
        <f t="shared" ref="G33:L36" si="19">+G34</f>
        <v>0</v>
      </c>
      <c r="H33" s="15">
        <f t="shared" si="19"/>
        <v>0</v>
      </c>
      <c r="I33" s="15">
        <f t="shared" si="19"/>
        <v>0</v>
      </c>
      <c r="J33" s="15">
        <f t="shared" si="19"/>
        <v>0</v>
      </c>
      <c r="K33" s="15">
        <f t="shared" si="19"/>
        <v>131180667</v>
      </c>
      <c r="L33" s="15">
        <f t="shared" si="19"/>
        <v>77864851.370000005</v>
      </c>
      <c r="M33" s="16">
        <f t="shared" si="1"/>
        <v>0.59356956440845055</v>
      </c>
      <c r="N33" s="15">
        <f t="shared" ref="N33:N36" si="20">+N34</f>
        <v>53315815.629999995</v>
      </c>
    </row>
    <row r="34" spans="1:14" x14ac:dyDescent="0.25">
      <c r="A34" s="6">
        <v>32</v>
      </c>
      <c r="B34" s="14" t="s">
        <v>75</v>
      </c>
      <c r="C34" s="13" t="s">
        <v>76</v>
      </c>
      <c r="D34" s="14"/>
      <c r="E34" s="14"/>
      <c r="F34" s="15">
        <f>+F35</f>
        <v>131180667</v>
      </c>
      <c r="G34" s="15">
        <f t="shared" si="19"/>
        <v>0</v>
      </c>
      <c r="H34" s="15">
        <f t="shared" si="19"/>
        <v>0</v>
      </c>
      <c r="I34" s="15">
        <f t="shared" si="19"/>
        <v>0</v>
      </c>
      <c r="J34" s="15">
        <f t="shared" si="19"/>
        <v>0</v>
      </c>
      <c r="K34" s="15">
        <f t="shared" si="19"/>
        <v>131180667</v>
      </c>
      <c r="L34" s="15">
        <f t="shared" si="19"/>
        <v>77864851.370000005</v>
      </c>
      <c r="M34" s="16">
        <f t="shared" si="1"/>
        <v>0.59356956440845055</v>
      </c>
      <c r="N34" s="15">
        <f t="shared" si="20"/>
        <v>53315815.629999995</v>
      </c>
    </row>
    <row r="35" spans="1:14" x14ac:dyDescent="0.25">
      <c r="A35" s="6">
        <v>33</v>
      </c>
      <c r="B35" s="14" t="s">
        <v>77</v>
      </c>
      <c r="C35" s="13" t="s">
        <v>78</v>
      </c>
      <c r="D35" s="14"/>
      <c r="E35" s="14"/>
      <c r="F35" s="15">
        <f>+F36</f>
        <v>131180667</v>
      </c>
      <c r="G35" s="15">
        <f t="shared" si="19"/>
        <v>0</v>
      </c>
      <c r="H35" s="15">
        <f t="shared" si="19"/>
        <v>0</v>
      </c>
      <c r="I35" s="15">
        <f t="shared" si="19"/>
        <v>0</v>
      </c>
      <c r="J35" s="15">
        <f t="shared" si="19"/>
        <v>0</v>
      </c>
      <c r="K35" s="15">
        <f t="shared" si="19"/>
        <v>131180667</v>
      </c>
      <c r="L35" s="15">
        <f t="shared" si="19"/>
        <v>77864851.370000005</v>
      </c>
      <c r="M35" s="16">
        <f t="shared" si="1"/>
        <v>0.59356956440845055</v>
      </c>
      <c r="N35" s="15">
        <f t="shared" si="20"/>
        <v>53315815.629999995</v>
      </c>
    </row>
    <row r="36" spans="1:14" x14ac:dyDescent="0.25">
      <c r="A36" s="6">
        <v>34</v>
      </c>
      <c r="B36" s="14" t="s">
        <v>79</v>
      </c>
      <c r="C36" s="13" t="s">
        <v>80</v>
      </c>
      <c r="D36" s="14"/>
      <c r="E36" s="14"/>
      <c r="F36" s="15">
        <f>+F37</f>
        <v>131180667</v>
      </c>
      <c r="G36" s="15">
        <f t="shared" si="19"/>
        <v>0</v>
      </c>
      <c r="H36" s="15">
        <f t="shared" si="19"/>
        <v>0</v>
      </c>
      <c r="I36" s="15">
        <f t="shared" si="19"/>
        <v>0</v>
      </c>
      <c r="J36" s="15">
        <f t="shared" si="19"/>
        <v>0</v>
      </c>
      <c r="K36" s="15">
        <f t="shared" si="19"/>
        <v>131180667</v>
      </c>
      <c r="L36" s="15">
        <f t="shared" si="19"/>
        <v>77864851.370000005</v>
      </c>
      <c r="M36" s="16">
        <f t="shared" si="1"/>
        <v>0.59356956440845055</v>
      </c>
      <c r="N36" s="15">
        <f t="shared" si="20"/>
        <v>53315815.629999995</v>
      </c>
    </row>
    <row r="37" spans="1:14" ht="30" x14ac:dyDescent="0.25">
      <c r="A37" s="6">
        <v>35</v>
      </c>
      <c r="B37" s="1" t="s">
        <v>81</v>
      </c>
      <c r="C37" s="2" t="s">
        <v>82</v>
      </c>
      <c r="D37" s="1" t="s">
        <v>26</v>
      </c>
      <c r="E37" s="1" t="s">
        <v>27</v>
      </c>
      <c r="F37" s="3">
        <v>131180667</v>
      </c>
      <c r="G37" s="3">
        <v>0</v>
      </c>
      <c r="H37" s="3">
        <v>0</v>
      </c>
      <c r="I37" s="3">
        <v>0</v>
      </c>
      <c r="J37" s="3">
        <v>0</v>
      </c>
      <c r="K37" s="3">
        <f>+F37+G37-H37+I37-J37</f>
        <v>131180667</v>
      </c>
      <c r="L37" s="29">
        <v>77864851.370000005</v>
      </c>
      <c r="M37" s="4">
        <f t="shared" si="1"/>
        <v>0.59356956440845055</v>
      </c>
      <c r="N37" s="3">
        <f>+K37-L37</f>
        <v>53315815.629999995</v>
      </c>
    </row>
    <row r="38" spans="1:14" x14ac:dyDescent="0.25">
      <c r="A38" s="6">
        <v>36</v>
      </c>
      <c r="B38" s="14" t="s">
        <v>83</v>
      </c>
      <c r="C38" s="13" t="s">
        <v>84</v>
      </c>
      <c r="D38" s="14"/>
      <c r="E38" s="14"/>
      <c r="F38" s="15">
        <f>+F39+F41+F56</f>
        <v>2473559151</v>
      </c>
      <c r="G38" s="15">
        <f t="shared" ref="G38:L38" si="21">+G39+G41+G56</f>
        <v>225771665.28</v>
      </c>
      <c r="H38" s="15">
        <f t="shared" si="21"/>
        <v>159771665.28</v>
      </c>
      <c r="I38" s="15">
        <f t="shared" si="21"/>
        <v>0</v>
      </c>
      <c r="J38" s="15">
        <f t="shared" si="21"/>
        <v>0</v>
      </c>
      <c r="K38" s="15">
        <f t="shared" si="21"/>
        <v>2539559151</v>
      </c>
      <c r="L38" s="15">
        <f t="shared" si="21"/>
        <v>2267594817.5599999</v>
      </c>
      <c r="M38" s="16">
        <f t="shared" si="1"/>
        <v>0.89290884075966137</v>
      </c>
      <c r="N38" s="15">
        <f>+N39+N41+N56</f>
        <v>271964333.44000006</v>
      </c>
    </row>
    <row r="39" spans="1:14" x14ac:dyDescent="0.25">
      <c r="A39" s="6">
        <v>37</v>
      </c>
      <c r="B39" s="14" t="s">
        <v>85</v>
      </c>
      <c r="C39" s="13" t="s">
        <v>86</v>
      </c>
      <c r="D39" s="14"/>
      <c r="E39" s="14"/>
      <c r="F39" s="15">
        <f>+F40</f>
        <v>180409115</v>
      </c>
      <c r="G39" s="15">
        <f t="shared" ref="G39:L39" si="22">+G40</f>
        <v>0</v>
      </c>
      <c r="H39" s="15">
        <f t="shared" si="22"/>
        <v>0</v>
      </c>
      <c r="I39" s="15">
        <f t="shared" si="22"/>
        <v>0</v>
      </c>
      <c r="J39" s="15">
        <f t="shared" si="22"/>
        <v>0</v>
      </c>
      <c r="K39" s="15">
        <f t="shared" si="22"/>
        <v>180409115</v>
      </c>
      <c r="L39" s="15">
        <f t="shared" si="22"/>
        <v>69166520.719999999</v>
      </c>
      <c r="M39" s="16">
        <f t="shared" si="1"/>
        <v>0.38338706289867891</v>
      </c>
      <c r="N39" s="15">
        <f>+N40</f>
        <v>111242594.28</v>
      </c>
    </row>
    <row r="40" spans="1:14" ht="30" x14ac:dyDescent="0.25">
      <c r="A40" s="6">
        <v>38</v>
      </c>
      <c r="B40" s="1" t="s">
        <v>87</v>
      </c>
      <c r="C40" s="2" t="s">
        <v>88</v>
      </c>
      <c r="D40" s="1" t="s">
        <v>26</v>
      </c>
      <c r="E40" s="1" t="s">
        <v>27</v>
      </c>
      <c r="F40" s="3">
        <v>180409115</v>
      </c>
      <c r="G40" s="3">
        <v>0</v>
      </c>
      <c r="H40" s="3">
        <v>0</v>
      </c>
      <c r="I40" s="3">
        <v>0</v>
      </c>
      <c r="J40" s="3">
        <v>0</v>
      </c>
      <c r="K40" s="3">
        <f>+F40+G40-H40+I40-J40</f>
        <v>180409115</v>
      </c>
      <c r="L40" s="29">
        <v>69166520.719999999</v>
      </c>
      <c r="M40" s="4">
        <f t="shared" si="1"/>
        <v>0.38338706289867891</v>
      </c>
      <c r="N40" s="3">
        <f>+K40-L40</f>
        <v>111242594.28</v>
      </c>
    </row>
    <row r="41" spans="1:14" x14ac:dyDescent="0.25">
      <c r="A41" s="6">
        <v>40</v>
      </c>
      <c r="B41" s="14" t="s">
        <v>89</v>
      </c>
      <c r="C41" s="13" t="s">
        <v>90</v>
      </c>
      <c r="D41" s="14"/>
      <c r="E41" s="14"/>
      <c r="F41" s="15">
        <f>+F43+F46+F50+F55+F42</f>
        <v>2237265524</v>
      </c>
      <c r="G41" s="15">
        <f t="shared" ref="G41:L41" si="23">+G43+G46+G50+G55+G42</f>
        <v>225771665.28</v>
      </c>
      <c r="H41" s="15">
        <f t="shared" si="23"/>
        <v>103887153.28</v>
      </c>
      <c r="I41" s="15">
        <f t="shared" si="23"/>
        <v>0</v>
      </c>
      <c r="J41" s="15">
        <f t="shared" si="23"/>
        <v>0</v>
      </c>
      <c r="K41" s="15">
        <f t="shared" si="23"/>
        <v>2359150036</v>
      </c>
      <c r="L41" s="15">
        <f t="shared" si="23"/>
        <v>2198428296.8400002</v>
      </c>
      <c r="M41" s="16">
        <f t="shared" si="1"/>
        <v>0.93187303193632076</v>
      </c>
      <c r="N41" s="15">
        <f>+N43+N46+N50+N55+N42</f>
        <v>160721739.16000009</v>
      </c>
    </row>
    <row r="42" spans="1:14" ht="45" x14ac:dyDescent="0.25">
      <c r="A42" s="6">
        <v>41</v>
      </c>
      <c r="B42" s="1" t="s">
        <v>91</v>
      </c>
      <c r="C42" s="2" t="s">
        <v>92</v>
      </c>
      <c r="D42" s="1" t="s">
        <v>26</v>
      </c>
      <c r="E42" s="1" t="s">
        <v>27</v>
      </c>
      <c r="F42" s="3">
        <v>8552046</v>
      </c>
      <c r="G42" s="3">
        <v>0</v>
      </c>
      <c r="H42" s="3">
        <v>8552046</v>
      </c>
      <c r="I42" s="3">
        <v>0</v>
      </c>
      <c r="J42" s="3">
        <v>0</v>
      </c>
      <c r="K42" s="3">
        <f>+F42+G42-H42+I42-J42</f>
        <v>0</v>
      </c>
      <c r="L42" s="29">
        <v>0</v>
      </c>
      <c r="M42" s="4" t="e">
        <f t="shared" si="1"/>
        <v>#DIV/0!</v>
      </c>
      <c r="N42" s="29">
        <f>+K42-L42</f>
        <v>0</v>
      </c>
    </row>
    <row r="43" spans="1:14" ht="30" x14ac:dyDescent="0.25">
      <c r="A43" s="6">
        <v>42</v>
      </c>
      <c r="B43" s="14" t="s">
        <v>93</v>
      </c>
      <c r="C43" s="13" t="s">
        <v>94</v>
      </c>
      <c r="D43" s="14"/>
      <c r="E43" s="14"/>
      <c r="F43" s="15">
        <f>SUM(F44:F45)</f>
        <v>145544091</v>
      </c>
      <c r="G43" s="15">
        <f t="shared" ref="G43:K43" si="24">SUM(G44:G45)</f>
        <v>0</v>
      </c>
      <c r="H43" s="15">
        <f t="shared" si="24"/>
        <v>7526739.2800000003</v>
      </c>
      <c r="I43" s="15">
        <f t="shared" si="24"/>
        <v>0</v>
      </c>
      <c r="J43" s="15">
        <f t="shared" si="24"/>
        <v>0</v>
      </c>
      <c r="K43" s="15">
        <f t="shared" si="24"/>
        <v>138017351.72</v>
      </c>
      <c r="L43" s="15">
        <f>SUM(L44:L45)</f>
        <v>81694388</v>
      </c>
      <c r="M43" s="16">
        <f t="shared" si="1"/>
        <v>0.59191389330332822</v>
      </c>
      <c r="N43" s="30">
        <f>SUM(N44:N45)</f>
        <v>56322963.719999999</v>
      </c>
    </row>
    <row r="44" spans="1:14" x14ac:dyDescent="0.25">
      <c r="A44" s="6">
        <v>43</v>
      </c>
      <c r="B44" s="1" t="s">
        <v>95</v>
      </c>
      <c r="C44" s="2" t="s">
        <v>96</v>
      </c>
      <c r="D44" s="1" t="s">
        <v>26</v>
      </c>
      <c r="E44" s="1" t="s">
        <v>27</v>
      </c>
      <c r="F44" s="3">
        <v>117466141</v>
      </c>
      <c r="G44" s="3">
        <v>0</v>
      </c>
      <c r="H44" s="3">
        <v>7526739.2800000003</v>
      </c>
      <c r="I44" s="3">
        <v>0</v>
      </c>
      <c r="J44" s="3">
        <v>0</v>
      </c>
      <c r="K44" s="3">
        <f t="shared" ref="K44:K45" si="25">+F44+G44-H44+I44-J44</f>
        <v>109939401.72</v>
      </c>
      <c r="L44" s="29">
        <v>54243954</v>
      </c>
      <c r="M44" s="4">
        <f t="shared" si="1"/>
        <v>0.49339866464028637</v>
      </c>
      <c r="N44" s="3">
        <f>+K44-L44</f>
        <v>55695447.719999999</v>
      </c>
    </row>
    <row r="45" spans="1:14" x14ac:dyDescent="0.25">
      <c r="A45" s="6">
        <v>44</v>
      </c>
      <c r="B45" s="1" t="s">
        <v>97</v>
      </c>
      <c r="C45" s="2" t="s">
        <v>98</v>
      </c>
      <c r="D45" s="1" t="s">
        <v>26</v>
      </c>
      <c r="E45" s="1" t="s">
        <v>27</v>
      </c>
      <c r="F45" s="3">
        <v>28077950</v>
      </c>
      <c r="G45" s="3">
        <v>0</v>
      </c>
      <c r="H45" s="3">
        <v>0</v>
      </c>
      <c r="I45" s="3">
        <v>0</v>
      </c>
      <c r="J45" s="3">
        <v>0</v>
      </c>
      <c r="K45" s="3">
        <f t="shared" si="25"/>
        <v>28077950</v>
      </c>
      <c r="L45" s="29">
        <v>27450434</v>
      </c>
      <c r="M45" s="4">
        <f t="shared" si="1"/>
        <v>0.97765093249329105</v>
      </c>
      <c r="N45" s="3">
        <f>+K45-L45</f>
        <v>627516</v>
      </c>
    </row>
    <row r="46" spans="1:14" ht="30" x14ac:dyDescent="0.25">
      <c r="A46" s="6">
        <v>45</v>
      </c>
      <c r="B46" s="14" t="s">
        <v>99</v>
      </c>
      <c r="C46" s="13" t="s">
        <v>100</v>
      </c>
      <c r="D46" s="14"/>
      <c r="E46" s="14"/>
      <c r="F46" s="15">
        <f>SUM(F47:F49)</f>
        <v>124562104</v>
      </c>
      <c r="G46" s="15">
        <f t="shared" ref="G46:K46" si="26">SUM(G47:G49)</f>
        <v>0</v>
      </c>
      <c r="H46" s="15">
        <f t="shared" si="26"/>
        <v>9200353</v>
      </c>
      <c r="I46" s="15">
        <f t="shared" si="26"/>
        <v>0</v>
      </c>
      <c r="J46" s="15">
        <f t="shared" si="26"/>
        <v>0</v>
      </c>
      <c r="K46" s="15">
        <f t="shared" si="26"/>
        <v>115361751</v>
      </c>
      <c r="L46" s="15">
        <f>SUM(L47:L49)</f>
        <v>45097299</v>
      </c>
      <c r="M46" s="16">
        <f t="shared" si="1"/>
        <v>0.39092072206844364</v>
      </c>
      <c r="N46" s="30">
        <f>SUM(N47:N49)</f>
        <v>70264452</v>
      </c>
    </row>
    <row r="47" spans="1:14" x14ac:dyDescent="0.25">
      <c r="A47" s="6">
        <v>46</v>
      </c>
      <c r="B47" s="1" t="s">
        <v>101</v>
      </c>
      <c r="C47" s="2" t="s">
        <v>102</v>
      </c>
      <c r="D47" s="1" t="s">
        <v>26</v>
      </c>
      <c r="E47" s="1" t="s">
        <v>27</v>
      </c>
      <c r="F47" s="3">
        <v>48706406</v>
      </c>
      <c r="G47" s="3">
        <v>0</v>
      </c>
      <c r="H47" s="3">
        <v>0</v>
      </c>
      <c r="I47" s="3">
        <v>0</v>
      </c>
      <c r="J47" s="3">
        <v>0</v>
      </c>
      <c r="K47" s="3">
        <f t="shared" ref="K47:K49" si="27">+F47+G47-H47+I47-J47</f>
        <v>48706406</v>
      </c>
      <c r="L47" s="29">
        <v>6325452</v>
      </c>
      <c r="M47" s="4">
        <f t="shared" si="1"/>
        <v>0.12986899505580438</v>
      </c>
      <c r="N47" s="3">
        <f>+K47-L47</f>
        <v>42380954</v>
      </c>
    </row>
    <row r="48" spans="1:14" x14ac:dyDescent="0.25">
      <c r="A48" s="6">
        <v>47</v>
      </c>
      <c r="B48" s="1" t="s">
        <v>103</v>
      </c>
      <c r="C48" s="2" t="s">
        <v>104</v>
      </c>
      <c r="D48" s="1" t="s">
        <v>26</v>
      </c>
      <c r="E48" s="1" t="s">
        <v>27</v>
      </c>
      <c r="F48" s="3">
        <v>54655345</v>
      </c>
      <c r="G48" s="3">
        <v>0</v>
      </c>
      <c r="H48" s="3">
        <v>0</v>
      </c>
      <c r="I48" s="3">
        <v>0</v>
      </c>
      <c r="J48" s="3">
        <v>0</v>
      </c>
      <c r="K48" s="3">
        <f t="shared" si="27"/>
        <v>54655345</v>
      </c>
      <c r="L48" s="29">
        <v>37267647</v>
      </c>
      <c r="M48" s="4">
        <f t="shared" si="1"/>
        <v>0.68186646703995735</v>
      </c>
      <c r="N48" s="3">
        <f>+K48-L48</f>
        <v>17387698</v>
      </c>
    </row>
    <row r="49" spans="1:21" x14ac:dyDescent="0.25">
      <c r="A49" s="6">
        <v>48</v>
      </c>
      <c r="B49" s="1" t="s">
        <v>105</v>
      </c>
      <c r="C49" s="2" t="s">
        <v>106</v>
      </c>
      <c r="D49" s="1" t="s">
        <v>26</v>
      </c>
      <c r="E49" s="1" t="s">
        <v>27</v>
      </c>
      <c r="F49" s="3">
        <v>21200353</v>
      </c>
      <c r="G49" s="3">
        <v>0</v>
      </c>
      <c r="H49" s="3">
        <v>9200353</v>
      </c>
      <c r="I49" s="3">
        <v>0</v>
      </c>
      <c r="J49" s="3">
        <v>0</v>
      </c>
      <c r="K49" s="3">
        <f t="shared" si="27"/>
        <v>12000000</v>
      </c>
      <c r="L49" s="29">
        <v>1504200</v>
      </c>
      <c r="M49" s="4">
        <f t="shared" si="1"/>
        <v>0.12534999999999999</v>
      </c>
      <c r="N49" s="3">
        <f>+K49-L49</f>
        <v>10495800</v>
      </c>
    </row>
    <row r="50" spans="1:21" x14ac:dyDescent="0.25">
      <c r="A50" s="6">
        <v>49</v>
      </c>
      <c r="B50" s="14" t="s">
        <v>107</v>
      </c>
      <c r="C50" s="13" t="s">
        <v>108</v>
      </c>
      <c r="D50" s="14"/>
      <c r="E50" s="14"/>
      <c r="F50" s="15">
        <f>SUM(F51:F54)</f>
        <v>1929562126</v>
      </c>
      <c r="G50" s="15">
        <f>SUM(G51:G54)</f>
        <v>225771665.28</v>
      </c>
      <c r="H50" s="15">
        <f t="shared" ref="H50:K50" si="28">SUM(H51:H54)</f>
        <v>53562858</v>
      </c>
      <c r="I50" s="15">
        <f t="shared" si="28"/>
        <v>0</v>
      </c>
      <c r="J50" s="15">
        <f t="shared" si="28"/>
        <v>0</v>
      </c>
      <c r="K50" s="15">
        <f t="shared" si="28"/>
        <v>2101770933.28</v>
      </c>
      <c r="L50" s="15">
        <f>SUM(L51:L54)</f>
        <v>2068498336.8399999</v>
      </c>
      <c r="M50" s="16">
        <f t="shared" si="1"/>
        <v>0.98416925654782217</v>
      </c>
      <c r="N50" s="30">
        <f>SUM(N51:N54)</f>
        <v>33272596.440000087</v>
      </c>
    </row>
    <row r="51" spans="1:21" x14ac:dyDescent="0.25">
      <c r="A51" s="6">
        <v>51</v>
      </c>
      <c r="B51" s="1" t="s">
        <v>109</v>
      </c>
      <c r="C51" s="2" t="s">
        <v>110</v>
      </c>
      <c r="D51" s="1" t="s">
        <v>26</v>
      </c>
      <c r="E51" s="1" t="s">
        <v>27</v>
      </c>
      <c r="F51" s="3">
        <v>1740923484</v>
      </c>
      <c r="G51" s="3">
        <v>192749974.28</v>
      </c>
      <c r="H51" s="3">
        <v>0</v>
      </c>
      <c r="I51" s="3">
        <v>0</v>
      </c>
      <c r="J51" s="3">
        <v>0</v>
      </c>
      <c r="K51" s="3">
        <f t="shared" ref="K51:K56" si="29">+F51+G51-H51+I51-J51</f>
        <v>1933673458.28</v>
      </c>
      <c r="L51" s="29">
        <v>1927337823.1199999</v>
      </c>
      <c r="M51" s="4">
        <f t="shared" si="1"/>
        <v>0.9967235237506773</v>
      </c>
      <c r="N51" s="3">
        <f t="shared" ref="N51:N56" si="30">+K51-L51</f>
        <v>6335635.1600000858</v>
      </c>
      <c r="O51" s="28"/>
      <c r="Q51" s="31"/>
      <c r="R51" s="31"/>
      <c r="S51" s="32"/>
      <c r="T51" s="33"/>
      <c r="U51" s="33"/>
    </row>
    <row r="52" spans="1:21" x14ac:dyDescent="0.25">
      <c r="A52" s="6">
        <v>52</v>
      </c>
      <c r="B52" s="1" t="s">
        <v>111</v>
      </c>
      <c r="C52" s="2" t="s">
        <v>112</v>
      </c>
      <c r="D52" s="1" t="s">
        <v>26</v>
      </c>
      <c r="E52" s="1" t="s">
        <v>27</v>
      </c>
      <c r="F52" s="3">
        <v>86958484</v>
      </c>
      <c r="G52" s="3">
        <v>33021691</v>
      </c>
      <c r="H52" s="3">
        <v>0</v>
      </c>
      <c r="I52" s="3">
        <v>0</v>
      </c>
      <c r="J52" s="3">
        <v>0</v>
      </c>
      <c r="K52" s="3">
        <f t="shared" si="29"/>
        <v>119980175</v>
      </c>
      <c r="L52" s="29">
        <v>114647600</v>
      </c>
      <c r="M52" s="4">
        <f t="shared" si="1"/>
        <v>0.95555453223834685</v>
      </c>
      <c r="N52" s="3">
        <f t="shared" si="30"/>
        <v>5332575</v>
      </c>
      <c r="S52" s="32"/>
      <c r="T52" s="33"/>
      <c r="U52" s="33"/>
    </row>
    <row r="53" spans="1:21" x14ac:dyDescent="0.25">
      <c r="A53" s="6">
        <v>53</v>
      </c>
      <c r="B53" s="1" t="s">
        <v>113</v>
      </c>
      <c r="C53" s="2" t="s">
        <v>114</v>
      </c>
      <c r="D53" s="1" t="s">
        <v>26</v>
      </c>
      <c r="E53" s="1" t="s">
        <v>27</v>
      </c>
      <c r="F53" s="3">
        <v>34770991</v>
      </c>
      <c r="G53" s="3">
        <v>0</v>
      </c>
      <c r="H53" s="3">
        <v>33021691</v>
      </c>
      <c r="I53" s="3">
        <v>0</v>
      </c>
      <c r="J53" s="3">
        <v>0</v>
      </c>
      <c r="K53" s="3">
        <f t="shared" si="29"/>
        <v>1749300</v>
      </c>
      <c r="L53" s="29">
        <v>1749300</v>
      </c>
      <c r="M53" s="4">
        <f t="shared" si="1"/>
        <v>1</v>
      </c>
      <c r="N53" s="3">
        <f t="shared" si="30"/>
        <v>0</v>
      </c>
      <c r="S53" s="32"/>
      <c r="T53" s="33"/>
      <c r="U53" s="33"/>
    </row>
    <row r="54" spans="1:21" x14ac:dyDescent="0.25">
      <c r="A54" s="6">
        <v>54</v>
      </c>
      <c r="B54" s="1" t="s">
        <v>115</v>
      </c>
      <c r="C54" s="2" t="s">
        <v>116</v>
      </c>
      <c r="D54" s="1" t="s">
        <v>26</v>
      </c>
      <c r="E54" s="1" t="s">
        <v>27</v>
      </c>
      <c r="F54" s="3">
        <v>66909167</v>
      </c>
      <c r="G54" s="3">
        <v>0</v>
      </c>
      <c r="H54" s="3">
        <v>20541167</v>
      </c>
      <c r="I54" s="3">
        <v>0</v>
      </c>
      <c r="J54" s="3">
        <v>0</v>
      </c>
      <c r="K54" s="3">
        <f t="shared" si="29"/>
        <v>46368000</v>
      </c>
      <c r="L54" s="29">
        <v>24763613.719999999</v>
      </c>
      <c r="M54" s="4">
        <f t="shared" si="1"/>
        <v>0.53406689354727399</v>
      </c>
      <c r="N54" s="3">
        <f t="shared" si="30"/>
        <v>21604386.280000001</v>
      </c>
      <c r="S54" s="32"/>
      <c r="T54" s="33"/>
      <c r="U54" s="33"/>
    </row>
    <row r="55" spans="1:21" x14ac:dyDescent="0.25">
      <c r="A55" s="6">
        <v>55</v>
      </c>
      <c r="B55" s="1" t="s">
        <v>117</v>
      </c>
      <c r="C55" s="2" t="s">
        <v>118</v>
      </c>
      <c r="D55" s="1" t="s">
        <v>26</v>
      </c>
      <c r="E55" s="1" t="s">
        <v>27</v>
      </c>
      <c r="F55" s="3">
        <v>29045157</v>
      </c>
      <c r="G55" s="3">
        <v>0</v>
      </c>
      <c r="H55" s="3">
        <v>25045157</v>
      </c>
      <c r="I55" s="3">
        <v>0</v>
      </c>
      <c r="J55" s="3">
        <v>0</v>
      </c>
      <c r="K55" s="3">
        <f t="shared" si="29"/>
        <v>4000000</v>
      </c>
      <c r="L55" s="29">
        <v>3138273</v>
      </c>
      <c r="M55" s="4">
        <f t="shared" si="1"/>
        <v>0.78456824999999997</v>
      </c>
      <c r="N55" s="3">
        <f t="shared" si="30"/>
        <v>861727</v>
      </c>
      <c r="S55" s="32"/>
      <c r="T55" s="33"/>
      <c r="U55" s="33"/>
    </row>
    <row r="56" spans="1:21" x14ac:dyDescent="0.25">
      <c r="A56" s="6">
        <v>56</v>
      </c>
      <c r="B56" s="14" t="s">
        <v>119</v>
      </c>
      <c r="C56" s="13" t="s">
        <v>120</v>
      </c>
      <c r="D56" s="1" t="s">
        <v>26</v>
      </c>
      <c r="E56" s="1" t="s">
        <v>27</v>
      </c>
      <c r="F56" s="3">
        <v>55884512</v>
      </c>
      <c r="G56" s="3">
        <v>0</v>
      </c>
      <c r="H56" s="3">
        <v>55884512</v>
      </c>
      <c r="I56" s="3">
        <v>0</v>
      </c>
      <c r="J56" s="3">
        <v>0</v>
      </c>
      <c r="K56" s="3">
        <f t="shared" si="29"/>
        <v>0</v>
      </c>
      <c r="L56" s="3">
        <v>0</v>
      </c>
      <c r="M56" s="4" t="e">
        <f t="shared" si="1"/>
        <v>#DIV/0!</v>
      </c>
      <c r="N56" s="29">
        <f t="shared" si="30"/>
        <v>0</v>
      </c>
      <c r="S56" s="32"/>
    </row>
    <row r="57" spans="1:21" x14ac:dyDescent="0.25">
      <c r="A57" s="6">
        <v>57</v>
      </c>
      <c r="B57" s="14" t="s">
        <v>121</v>
      </c>
      <c r="C57" s="13" t="s">
        <v>122</v>
      </c>
      <c r="D57" s="14"/>
      <c r="E57" s="14"/>
      <c r="F57" s="15">
        <f>+F58</f>
        <v>1</v>
      </c>
      <c r="G57" s="15">
        <f t="shared" ref="G57:L59" si="31">+G58</f>
        <v>0</v>
      </c>
      <c r="H57" s="15">
        <f t="shared" si="31"/>
        <v>0</v>
      </c>
      <c r="I57" s="15">
        <f t="shared" si="31"/>
        <v>0</v>
      </c>
      <c r="J57" s="15">
        <f t="shared" si="31"/>
        <v>0</v>
      </c>
      <c r="K57" s="15">
        <f t="shared" si="31"/>
        <v>1</v>
      </c>
      <c r="L57" s="15">
        <f t="shared" si="31"/>
        <v>0</v>
      </c>
      <c r="M57" s="16">
        <f t="shared" si="1"/>
        <v>0</v>
      </c>
      <c r="N57" s="30">
        <f t="shared" ref="N57:N59" si="32">+N58</f>
        <v>1</v>
      </c>
    </row>
    <row r="58" spans="1:21" x14ac:dyDescent="0.25">
      <c r="A58" s="6">
        <v>58</v>
      </c>
      <c r="B58" s="14" t="s">
        <v>123</v>
      </c>
      <c r="C58" s="13" t="s">
        <v>124</v>
      </c>
      <c r="D58" s="14"/>
      <c r="E58" s="14"/>
      <c r="F58" s="15">
        <f>+F59</f>
        <v>1</v>
      </c>
      <c r="G58" s="15">
        <f t="shared" si="31"/>
        <v>0</v>
      </c>
      <c r="H58" s="15">
        <f t="shared" si="31"/>
        <v>0</v>
      </c>
      <c r="I58" s="15">
        <f t="shared" si="31"/>
        <v>0</v>
      </c>
      <c r="J58" s="15">
        <f t="shared" si="31"/>
        <v>0</v>
      </c>
      <c r="K58" s="15">
        <f t="shared" si="31"/>
        <v>1</v>
      </c>
      <c r="L58" s="15">
        <f t="shared" si="31"/>
        <v>0</v>
      </c>
      <c r="M58" s="16">
        <f t="shared" si="1"/>
        <v>0</v>
      </c>
      <c r="N58" s="30">
        <f t="shared" si="32"/>
        <v>1</v>
      </c>
    </row>
    <row r="59" spans="1:21" x14ac:dyDescent="0.25">
      <c r="A59" s="6">
        <v>59</v>
      </c>
      <c r="B59" s="14" t="s">
        <v>125</v>
      </c>
      <c r="C59" s="13" t="s">
        <v>126</v>
      </c>
      <c r="D59" s="14"/>
      <c r="E59" s="14"/>
      <c r="F59" s="15">
        <f>+F60</f>
        <v>1</v>
      </c>
      <c r="G59" s="15">
        <f t="shared" si="31"/>
        <v>0</v>
      </c>
      <c r="H59" s="15">
        <f t="shared" si="31"/>
        <v>0</v>
      </c>
      <c r="I59" s="15">
        <f t="shared" si="31"/>
        <v>0</v>
      </c>
      <c r="J59" s="15">
        <f t="shared" si="31"/>
        <v>0</v>
      </c>
      <c r="K59" s="15">
        <f t="shared" si="31"/>
        <v>1</v>
      </c>
      <c r="L59" s="15">
        <f t="shared" si="31"/>
        <v>0</v>
      </c>
      <c r="M59" s="16">
        <f t="shared" si="1"/>
        <v>0</v>
      </c>
      <c r="N59" s="30">
        <f t="shared" si="32"/>
        <v>1</v>
      </c>
    </row>
    <row r="60" spans="1:21" x14ac:dyDescent="0.25">
      <c r="A60" s="6">
        <v>60</v>
      </c>
      <c r="B60" s="1" t="s">
        <v>127</v>
      </c>
      <c r="C60" s="2" t="s">
        <v>128</v>
      </c>
      <c r="D60" s="1" t="s">
        <v>26</v>
      </c>
      <c r="E60" s="1" t="s">
        <v>27</v>
      </c>
      <c r="F60" s="3">
        <v>1</v>
      </c>
      <c r="G60" s="3">
        <v>0</v>
      </c>
      <c r="H60" s="3">
        <v>0</v>
      </c>
      <c r="I60" s="3">
        <v>0</v>
      </c>
      <c r="J60" s="3">
        <v>0</v>
      </c>
      <c r="K60" s="3">
        <v>1</v>
      </c>
      <c r="L60" s="3">
        <v>0</v>
      </c>
      <c r="M60" s="4">
        <f t="shared" si="1"/>
        <v>0</v>
      </c>
      <c r="N60" s="29">
        <v>1</v>
      </c>
    </row>
    <row r="61" spans="1:21" x14ac:dyDescent="0.25">
      <c r="A61" s="6">
        <v>61</v>
      </c>
      <c r="B61" s="14" t="s">
        <v>129</v>
      </c>
      <c r="C61" s="13" t="s">
        <v>130</v>
      </c>
      <c r="D61" s="14"/>
      <c r="E61" s="14"/>
      <c r="F61" s="15">
        <f>+F62</f>
        <v>56775064</v>
      </c>
      <c r="G61" s="15">
        <f t="shared" ref="G61:L62" si="33">+G62</f>
        <v>130756856</v>
      </c>
      <c r="H61" s="15">
        <f t="shared" si="33"/>
        <v>0</v>
      </c>
      <c r="I61" s="15">
        <f t="shared" si="33"/>
        <v>0</v>
      </c>
      <c r="J61" s="15">
        <f t="shared" si="33"/>
        <v>0</v>
      </c>
      <c r="K61" s="15">
        <f t="shared" si="33"/>
        <v>187531920</v>
      </c>
      <c r="L61" s="15">
        <f t="shared" si="33"/>
        <v>187531920</v>
      </c>
      <c r="M61" s="16">
        <f t="shared" si="1"/>
        <v>1</v>
      </c>
      <c r="N61" s="30">
        <f t="shared" ref="N61:N62" si="34">+N62</f>
        <v>0</v>
      </c>
    </row>
    <row r="62" spans="1:21" x14ac:dyDescent="0.25">
      <c r="A62" s="6">
        <v>62</v>
      </c>
      <c r="B62" s="14" t="s">
        <v>131</v>
      </c>
      <c r="C62" s="13" t="s">
        <v>132</v>
      </c>
      <c r="D62" s="14"/>
      <c r="E62" s="14"/>
      <c r="F62" s="15">
        <f>+F63</f>
        <v>56775064</v>
      </c>
      <c r="G62" s="15">
        <f t="shared" si="33"/>
        <v>130756856</v>
      </c>
      <c r="H62" s="15">
        <f t="shared" si="33"/>
        <v>0</v>
      </c>
      <c r="I62" s="15">
        <f t="shared" si="33"/>
        <v>0</v>
      </c>
      <c r="J62" s="15">
        <f t="shared" si="33"/>
        <v>0</v>
      </c>
      <c r="K62" s="15">
        <f t="shared" si="33"/>
        <v>187531920</v>
      </c>
      <c r="L62" s="15">
        <f t="shared" si="33"/>
        <v>187531920</v>
      </c>
      <c r="M62" s="16">
        <f t="shared" si="1"/>
        <v>1</v>
      </c>
      <c r="N62" s="30">
        <f t="shared" si="34"/>
        <v>0</v>
      </c>
    </row>
    <row r="63" spans="1:21" x14ac:dyDescent="0.25">
      <c r="A63" s="6">
        <v>63</v>
      </c>
      <c r="B63" s="1" t="s">
        <v>133</v>
      </c>
      <c r="C63" s="2" t="s">
        <v>134</v>
      </c>
      <c r="D63" s="1" t="s">
        <v>26</v>
      </c>
      <c r="E63" s="1" t="s">
        <v>27</v>
      </c>
      <c r="F63" s="3">
        <v>56775064</v>
      </c>
      <c r="G63" s="3">
        <v>130756856</v>
      </c>
      <c r="H63" s="3">
        <v>0</v>
      </c>
      <c r="I63" s="3">
        <v>0</v>
      </c>
      <c r="J63" s="3">
        <v>0</v>
      </c>
      <c r="K63" s="3">
        <f>+F63+G63-H63+I63-J63</f>
        <v>187531920</v>
      </c>
      <c r="L63" s="29">
        <v>187531920</v>
      </c>
      <c r="M63" s="4">
        <f t="shared" si="1"/>
        <v>1</v>
      </c>
      <c r="N63" s="29">
        <f>+K63-L63</f>
        <v>0</v>
      </c>
      <c r="O63" s="5"/>
    </row>
    <row r="64" spans="1:21" ht="30" x14ac:dyDescent="0.25">
      <c r="A64" s="6">
        <v>64</v>
      </c>
      <c r="B64" s="14" t="s">
        <v>135</v>
      </c>
      <c r="C64" s="13" t="s">
        <v>136</v>
      </c>
      <c r="D64" s="14"/>
      <c r="E64" s="14"/>
      <c r="F64" s="15">
        <f>+F65</f>
        <v>129290280</v>
      </c>
      <c r="G64" s="15">
        <f t="shared" ref="G64:L64" si="35">+G65</f>
        <v>0</v>
      </c>
      <c r="H64" s="15">
        <f t="shared" si="35"/>
        <v>0</v>
      </c>
      <c r="I64" s="15">
        <f t="shared" si="35"/>
        <v>0</v>
      </c>
      <c r="J64" s="15">
        <f t="shared" si="35"/>
        <v>0</v>
      </c>
      <c r="K64" s="15">
        <f t="shared" si="35"/>
        <v>129290280</v>
      </c>
      <c r="L64" s="15">
        <f t="shared" si="35"/>
        <v>89781033</v>
      </c>
      <c r="M64" s="16">
        <f t="shared" si="1"/>
        <v>0.69441440609456484</v>
      </c>
      <c r="N64" s="30">
        <f t="shared" ref="N64" si="36">+N65</f>
        <v>39509247</v>
      </c>
    </row>
    <row r="65" spans="1:16" x14ac:dyDescent="0.25">
      <c r="A65" s="6">
        <v>65</v>
      </c>
      <c r="B65" s="14" t="s">
        <v>137</v>
      </c>
      <c r="C65" s="13" t="s">
        <v>138</v>
      </c>
      <c r="D65" s="14"/>
      <c r="E65" s="14"/>
      <c r="F65" s="15">
        <f>+F67</f>
        <v>129290280</v>
      </c>
      <c r="G65" s="15">
        <f>+G67</f>
        <v>0</v>
      </c>
      <c r="H65" s="15">
        <f>+H67</f>
        <v>0</v>
      </c>
      <c r="I65" s="15">
        <f>+I67</f>
        <v>0</v>
      </c>
      <c r="J65" s="15">
        <f>+J67</f>
        <v>0</v>
      </c>
      <c r="K65" s="15">
        <f>+K67+K66</f>
        <v>129290280</v>
      </c>
      <c r="L65" s="15">
        <f>+L67+L66</f>
        <v>89781033</v>
      </c>
      <c r="M65" s="16">
        <f t="shared" si="1"/>
        <v>0.69441440609456484</v>
      </c>
      <c r="N65" s="15">
        <f>+N67</f>
        <v>39509247</v>
      </c>
    </row>
    <row r="66" spans="1:16" x14ac:dyDescent="0.25">
      <c r="B66" s="1" t="s">
        <v>139</v>
      </c>
      <c r="C66" s="2" t="s">
        <v>140</v>
      </c>
      <c r="D66" s="27" t="s">
        <v>26</v>
      </c>
      <c r="E66" s="1" t="s">
        <v>27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f t="shared" ref="K66:K67" si="37">+F66+G66-H66+I66-J66</f>
        <v>0</v>
      </c>
      <c r="L66" s="3">
        <v>0</v>
      </c>
      <c r="M66" s="4" t="e">
        <f>+L66/K66</f>
        <v>#DIV/0!</v>
      </c>
      <c r="N66" s="3">
        <f>+K66-L66</f>
        <v>0</v>
      </c>
    </row>
    <row r="67" spans="1:16" x14ac:dyDescent="0.25">
      <c r="A67" s="6">
        <v>66</v>
      </c>
      <c r="B67" s="1" t="s">
        <v>139</v>
      </c>
      <c r="C67" s="2" t="s">
        <v>140</v>
      </c>
      <c r="D67" s="1" t="s">
        <v>141</v>
      </c>
      <c r="E67" s="1" t="s">
        <v>142</v>
      </c>
      <c r="F67" s="3">
        <v>129290280</v>
      </c>
      <c r="G67" s="3">
        <v>0</v>
      </c>
      <c r="H67" s="3">
        <v>0</v>
      </c>
      <c r="I67" s="3">
        <v>0</v>
      </c>
      <c r="J67" s="3">
        <v>0</v>
      </c>
      <c r="K67" s="3">
        <f t="shared" si="37"/>
        <v>129290280</v>
      </c>
      <c r="L67" s="29">
        <v>89781033</v>
      </c>
      <c r="M67" s="4">
        <f>+L67/K67</f>
        <v>0.69441440609456484</v>
      </c>
      <c r="N67" s="3">
        <f>+K67-L67</f>
        <v>39509247</v>
      </c>
    </row>
    <row r="68" spans="1:16" x14ac:dyDescent="0.25">
      <c r="B68" s="9"/>
      <c r="C68" s="10"/>
      <c r="D68" s="9"/>
      <c r="E68" s="9"/>
      <c r="F68" s="11"/>
      <c r="G68" s="11"/>
      <c r="H68" s="11"/>
      <c r="I68" s="11"/>
      <c r="J68" s="11"/>
      <c r="K68" s="11"/>
      <c r="L68" s="11"/>
      <c r="M68" s="12"/>
      <c r="N68" s="11"/>
    </row>
    <row r="69" spans="1:16" x14ac:dyDescent="0.25">
      <c r="B69" s="9"/>
      <c r="C69" s="10"/>
      <c r="D69" s="9"/>
      <c r="E69" s="9"/>
      <c r="F69" s="11"/>
      <c r="G69" s="11"/>
      <c r="H69" s="11"/>
      <c r="I69" s="11"/>
      <c r="J69" s="11"/>
      <c r="K69" s="11"/>
      <c r="L69" s="11"/>
      <c r="M69" s="12"/>
      <c r="N69" s="11"/>
    </row>
    <row r="70" spans="1:16" x14ac:dyDescent="0.25">
      <c r="B70" s="9"/>
      <c r="C70" s="10"/>
      <c r="D70" s="9"/>
      <c r="E70" s="9"/>
      <c r="F70" s="11"/>
      <c r="G70" s="11"/>
      <c r="H70" s="11"/>
      <c r="I70" s="11"/>
      <c r="J70" s="11"/>
      <c r="K70" s="11"/>
      <c r="L70" s="11"/>
      <c r="M70" s="12"/>
      <c r="N70" s="11"/>
    </row>
    <row r="71" spans="1:16" ht="60" x14ac:dyDescent="0.25">
      <c r="B71" s="22" t="s">
        <v>0</v>
      </c>
      <c r="C71" s="22" t="s">
        <v>1</v>
      </c>
      <c r="D71" s="22" t="s">
        <v>2</v>
      </c>
      <c r="E71" s="22" t="s">
        <v>3</v>
      </c>
      <c r="F71" s="23" t="s">
        <v>4</v>
      </c>
      <c r="G71" s="23" t="s">
        <v>5</v>
      </c>
      <c r="H71" s="23" t="s">
        <v>6</v>
      </c>
      <c r="I71" s="23" t="s">
        <v>7</v>
      </c>
      <c r="J71" s="23" t="s">
        <v>8</v>
      </c>
      <c r="K71" s="23" t="s">
        <v>9</v>
      </c>
      <c r="L71" s="23" t="s">
        <v>10</v>
      </c>
      <c r="M71" s="24" t="s">
        <v>11</v>
      </c>
      <c r="N71" s="23" t="s">
        <v>12</v>
      </c>
    </row>
    <row r="72" spans="1:16" x14ac:dyDescent="0.25">
      <c r="A72" s="6">
        <v>1</v>
      </c>
      <c r="B72" s="18" t="s">
        <v>143</v>
      </c>
      <c r="C72" s="17" t="s">
        <v>144</v>
      </c>
      <c r="D72" s="18" t="s">
        <v>145</v>
      </c>
      <c r="E72" s="18"/>
      <c r="F72" s="19">
        <f t="shared" ref="F72:L72" si="38">+F73+F132</f>
        <v>20692884749</v>
      </c>
      <c r="G72" s="19">
        <f t="shared" si="38"/>
        <v>0</v>
      </c>
      <c r="H72" s="19">
        <f t="shared" si="38"/>
        <v>0</v>
      </c>
      <c r="I72" s="19">
        <f t="shared" si="38"/>
        <v>21487687932.370003</v>
      </c>
      <c r="J72" s="19">
        <f t="shared" si="38"/>
        <v>0</v>
      </c>
      <c r="K72" s="19">
        <f t="shared" si="38"/>
        <v>42180572681.370003</v>
      </c>
      <c r="L72" s="19">
        <f t="shared" si="38"/>
        <v>32624151937.969997</v>
      </c>
      <c r="M72" s="20">
        <f t="shared" ref="M72:M131" si="39">+L72/K72</f>
        <v>0.77344023241247239</v>
      </c>
      <c r="N72" s="19">
        <f>+N73+N132</f>
        <v>9556420743.3999996</v>
      </c>
      <c r="O72" s="5"/>
      <c r="P72" s="5"/>
    </row>
    <row r="73" spans="1:16" x14ac:dyDescent="0.25">
      <c r="A73" s="6">
        <v>2</v>
      </c>
      <c r="B73" s="14" t="s">
        <v>146</v>
      </c>
      <c r="C73" s="13" t="s">
        <v>147</v>
      </c>
      <c r="D73" s="14"/>
      <c r="E73" s="14"/>
      <c r="F73" s="15">
        <f t="shared" ref="F73:L73" si="40">+F74+F113</f>
        <v>20692884749</v>
      </c>
      <c r="G73" s="15">
        <f t="shared" si="40"/>
        <v>0</v>
      </c>
      <c r="H73" s="15">
        <f t="shared" si="40"/>
        <v>0</v>
      </c>
      <c r="I73" s="15">
        <f t="shared" si="40"/>
        <v>19859752926.400002</v>
      </c>
      <c r="J73" s="15">
        <f t="shared" si="40"/>
        <v>0</v>
      </c>
      <c r="K73" s="15">
        <f t="shared" si="40"/>
        <v>40552637675.400002</v>
      </c>
      <c r="L73" s="15">
        <f t="shared" si="40"/>
        <v>30996216931.999996</v>
      </c>
      <c r="M73" s="16">
        <f t="shared" si="39"/>
        <v>0.76434527342232261</v>
      </c>
      <c r="N73" s="15">
        <f>+N74+N113</f>
        <v>9556420743.3999996</v>
      </c>
    </row>
    <row r="74" spans="1:16" x14ac:dyDescent="0.25">
      <c r="A74" s="6">
        <v>3</v>
      </c>
      <c r="B74" s="14" t="s">
        <v>148</v>
      </c>
      <c r="C74" s="13" t="s">
        <v>149</v>
      </c>
      <c r="D74" s="14"/>
      <c r="E74" s="14"/>
      <c r="F74" s="15">
        <f>+F75</f>
        <v>17895311329</v>
      </c>
      <c r="G74" s="15">
        <f t="shared" ref="G74:L74" si="41">+G75</f>
        <v>0</v>
      </c>
      <c r="H74" s="15">
        <f t="shared" si="41"/>
        <v>0</v>
      </c>
      <c r="I74" s="15">
        <f t="shared" si="41"/>
        <v>18244988331.110001</v>
      </c>
      <c r="J74" s="15">
        <f t="shared" si="41"/>
        <v>0</v>
      </c>
      <c r="K74" s="15">
        <f>+K75</f>
        <v>36140299660.110001</v>
      </c>
      <c r="L74" s="15">
        <f t="shared" si="41"/>
        <v>27128603850.429996</v>
      </c>
      <c r="M74" s="16">
        <f t="shared" si="39"/>
        <v>0.75064689849191546</v>
      </c>
      <c r="N74" s="15">
        <f>+N75</f>
        <v>9011695809.6800003</v>
      </c>
    </row>
    <row r="75" spans="1:16" x14ac:dyDescent="0.25">
      <c r="A75" s="6">
        <v>4</v>
      </c>
      <c r="B75" s="14" t="s">
        <v>150</v>
      </c>
      <c r="C75" s="13" t="s">
        <v>151</v>
      </c>
      <c r="D75" s="14"/>
      <c r="E75" s="14"/>
      <c r="F75" s="15">
        <f>+F76+F91+F97+F101+F104+F109</f>
        <v>17895311329</v>
      </c>
      <c r="G75" s="15">
        <f>+G76+G91+G97+G109</f>
        <v>0</v>
      </c>
      <c r="H75" s="15">
        <f>+H76+H91+H97+H101+H104+H109</f>
        <v>0</v>
      </c>
      <c r="I75" s="15">
        <f>+I76+I91+I97+I101+I109+I104</f>
        <v>18244988331.110001</v>
      </c>
      <c r="J75" s="15">
        <f>+J76+J91+J97+J101+J109+J104</f>
        <v>0</v>
      </c>
      <c r="K75" s="15">
        <f>+K76+K91+K97+K101+K104+K109</f>
        <v>36140299660.110001</v>
      </c>
      <c r="L75" s="15">
        <f>+L76+L91+L97+L101+L104+L109</f>
        <v>27128603850.429996</v>
      </c>
      <c r="M75" s="16">
        <f t="shared" si="39"/>
        <v>0.75064689849191546</v>
      </c>
      <c r="N75" s="15">
        <f>+N76+N91+N97+N101+N104+N109</f>
        <v>9011695809.6800003</v>
      </c>
    </row>
    <row r="76" spans="1:16" ht="60" x14ac:dyDescent="0.25">
      <c r="A76" s="6">
        <v>29</v>
      </c>
      <c r="B76" s="14" t="s">
        <v>152</v>
      </c>
      <c r="C76" s="13" t="s">
        <v>153</v>
      </c>
      <c r="D76" s="14"/>
      <c r="E76" s="14"/>
      <c r="F76" s="15">
        <f t="shared" ref="F76:L76" si="42">SUM(F77:F90)</f>
        <v>8320929773</v>
      </c>
      <c r="G76" s="15">
        <f t="shared" si="42"/>
        <v>0</v>
      </c>
      <c r="H76" s="15">
        <f t="shared" si="42"/>
        <v>0</v>
      </c>
      <c r="I76" s="15">
        <f t="shared" si="42"/>
        <v>15495300061.77</v>
      </c>
      <c r="J76" s="15">
        <f t="shared" si="42"/>
        <v>0</v>
      </c>
      <c r="K76" s="15">
        <f t="shared" si="42"/>
        <v>23816229834.77</v>
      </c>
      <c r="L76" s="15">
        <f t="shared" si="42"/>
        <v>18749505236.799999</v>
      </c>
      <c r="M76" s="16">
        <f t="shared" si="39"/>
        <v>0.78725748646526139</v>
      </c>
      <c r="N76" s="15">
        <f>SUM(N77:N90)</f>
        <v>5066724597.9700003</v>
      </c>
    </row>
    <row r="77" spans="1:16" ht="60" x14ac:dyDescent="0.25">
      <c r="A77" s="6">
        <v>30</v>
      </c>
      <c r="B77" s="1" t="s">
        <v>152</v>
      </c>
      <c r="C77" s="2" t="s">
        <v>217</v>
      </c>
      <c r="D77" s="1" t="s">
        <v>155</v>
      </c>
      <c r="E77" s="1" t="s">
        <v>218</v>
      </c>
      <c r="F77" s="3">
        <v>1913140653</v>
      </c>
      <c r="G77" s="3">
        <v>0</v>
      </c>
      <c r="H77" s="3">
        <v>0</v>
      </c>
      <c r="I77" s="3">
        <v>0</v>
      </c>
      <c r="J77" s="3">
        <v>0</v>
      </c>
      <c r="K77" s="3">
        <f>+F77+G77-H77+I77-J77</f>
        <v>1913140653</v>
      </c>
      <c r="L77" s="29">
        <v>1822348031.1800001</v>
      </c>
      <c r="M77" s="4">
        <f t="shared" si="39"/>
        <v>0.95254263105139303</v>
      </c>
      <c r="N77" s="3">
        <f t="shared" ref="N77:N90" si="43">+K77-L77</f>
        <v>90792621.819999933</v>
      </c>
    </row>
    <row r="78" spans="1:16" ht="60" x14ac:dyDescent="0.25">
      <c r="B78" s="1" t="s">
        <v>152</v>
      </c>
      <c r="C78" s="2" t="s">
        <v>217</v>
      </c>
      <c r="D78" s="1" t="s">
        <v>157</v>
      </c>
      <c r="E78" s="1" t="s">
        <v>219</v>
      </c>
      <c r="F78" s="3">
        <v>583085573</v>
      </c>
      <c r="G78" s="3">
        <v>0</v>
      </c>
      <c r="H78" s="3">
        <v>0</v>
      </c>
      <c r="I78" s="3">
        <v>0</v>
      </c>
      <c r="J78" s="3">
        <v>0</v>
      </c>
      <c r="K78" s="3">
        <f t="shared" ref="K78:K90" si="44">+F78+G78-H78+I78-J78</f>
        <v>583085573</v>
      </c>
      <c r="L78" s="29">
        <v>569033000</v>
      </c>
      <c r="M78" s="4">
        <f t="shared" si="39"/>
        <v>0.9758996386624712</v>
      </c>
      <c r="N78" s="3">
        <f t="shared" si="43"/>
        <v>14052573</v>
      </c>
    </row>
    <row r="79" spans="1:16" ht="60" x14ac:dyDescent="0.25">
      <c r="B79" s="1" t="s">
        <v>152</v>
      </c>
      <c r="C79" s="2" t="s">
        <v>217</v>
      </c>
      <c r="D79" s="1" t="s">
        <v>159</v>
      </c>
      <c r="E79" s="1" t="s">
        <v>220</v>
      </c>
      <c r="F79" s="3">
        <v>5764703547</v>
      </c>
      <c r="G79" s="3">
        <v>0</v>
      </c>
      <c r="H79" s="3">
        <v>0</v>
      </c>
      <c r="I79" s="3">
        <v>0</v>
      </c>
      <c r="J79" s="3">
        <v>0</v>
      </c>
      <c r="K79" s="3">
        <f t="shared" si="44"/>
        <v>5764703547</v>
      </c>
      <c r="L79" s="29">
        <v>5668243535.8199997</v>
      </c>
      <c r="M79" s="4">
        <f t="shared" si="39"/>
        <v>0.98326713413906619</v>
      </c>
      <c r="N79" s="3">
        <f t="shared" si="43"/>
        <v>96460011.180000305</v>
      </c>
    </row>
    <row r="80" spans="1:16" ht="60" x14ac:dyDescent="0.25">
      <c r="B80" s="1" t="s">
        <v>152</v>
      </c>
      <c r="C80" s="2" t="s">
        <v>217</v>
      </c>
      <c r="D80" s="1" t="s">
        <v>184</v>
      </c>
      <c r="E80" s="1" t="s">
        <v>221</v>
      </c>
      <c r="F80" s="3">
        <v>60000000</v>
      </c>
      <c r="G80" s="3">
        <v>0</v>
      </c>
      <c r="H80" s="3">
        <v>0</v>
      </c>
      <c r="I80" s="3">
        <v>0</v>
      </c>
      <c r="J80" s="3">
        <v>0</v>
      </c>
      <c r="K80" s="3">
        <f t="shared" si="44"/>
        <v>60000000</v>
      </c>
      <c r="L80" s="29">
        <v>0</v>
      </c>
      <c r="M80" s="4">
        <f t="shared" si="39"/>
        <v>0</v>
      </c>
      <c r="N80" s="3">
        <f t="shared" si="43"/>
        <v>60000000</v>
      </c>
    </row>
    <row r="81" spans="1:15" ht="60" x14ac:dyDescent="0.25">
      <c r="A81" s="6">
        <v>33</v>
      </c>
      <c r="B81" s="1" t="s">
        <v>152</v>
      </c>
      <c r="C81" s="2" t="s">
        <v>247</v>
      </c>
      <c r="D81" s="1" t="s">
        <v>248</v>
      </c>
      <c r="E81" s="1" t="s">
        <v>249</v>
      </c>
      <c r="F81" s="3">
        <v>0</v>
      </c>
      <c r="G81" s="3">
        <v>0</v>
      </c>
      <c r="H81" s="3">
        <v>0</v>
      </c>
      <c r="I81" s="3">
        <v>4700000000</v>
      </c>
      <c r="J81" s="3">
        <v>0</v>
      </c>
      <c r="K81" s="3">
        <f t="shared" si="44"/>
        <v>4700000000</v>
      </c>
      <c r="L81" s="29">
        <v>3166726166.8099999</v>
      </c>
      <c r="M81" s="4">
        <f t="shared" si="39"/>
        <v>0.67377152485319147</v>
      </c>
      <c r="N81" s="3">
        <f t="shared" si="43"/>
        <v>1533273833.1900001</v>
      </c>
      <c r="O81" s="5"/>
    </row>
    <row r="82" spans="1:15" ht="60" x14ac:dyDescent="0.25">
      <c r="B82" s="1" t="s">
        <v>152</v>
      </c>
      <c r="C82" s="2" t="s">
        <v>247</v>
      </c>
      <c r="D82" s="1" t="s">
        <v>250</v>
      </c>
      <c r="E82" s="1" t="s">
        <v>266</v>
      </c>
      <c r="F82" s="3">
        <v>0</v>
      </c>
      <c r="G82" s="3">
        <v>0</v>
      </c>
      <c r="H82" s="3">
        <v>0</v>
      </c>
      <c r="I82" s="3">
        <v>2047231078.02</v>
      </c>
      <c r="J82" s="3">
        <v>0</v>
      </c>
      <c r="K82" s="3">
        <f t="shared" si="44"/>
        <v>2047231078.02</v>
      </c>
      <c r="L82" s="29">
        <v>2047231078</v>
      </c>
      <c r="M82" s="4">
        <f t="shared" si="39"/>
        <v>0.9999999999902307</v>
      </c>
      <c r="N82" s="3">
        <f t="shared" si="43"/>
        <v>1.9999980926513672E-2</v>
      </c>
    </row>
    <row r="83" spans="1:15" ht="60" x14ac:dyDescent="0.25">
      <c r="B83" s="1" t="s">
        <v>152</v>
      </c>
      <c r="C83" s="2" t="s">
        <v>247</v>
      </c>
      <c r="D83" s="1" t="s">
        <v>251</v>
      </c>
      <c r="E83" s="1" t="s">
        <v>252</v>
      </c>
      <c r="F83" s="3">
        <v>0</v>
      </c>
      <c r="G83" s="3">
        <v>0</v>
      </c>
      <c r="H83" s="3">
        <v>0</v>
      </c>
      <c r="I83" s="3">
        <v>81961647.569999993</v>
      </c>
      <c r="J83" s="3">
        <v>0</v>
      </c>
      <c r="K83" s="3">
        <f t="shared" si="44"/>
        <v>81961647.569999993</v>
      </c>
      <c r="L83" s="29">
        <v>81961647</v>
      </c>
      <c r="M83" s="4">
        <f t="shared" si="39"/>
        <v>0.99999999304552789</v>
      </c>
      <c r="N83" s="3">
        <f t="shared" si="43"/>
        <v>0.56999999284744263</v>
      </c>
    </row>
    <row r="84" spans="1:15" ht="60" x14ac:dyDescent="0.25">
      <c r="B84" s="1" t="s">
        <v>152</v>
      </c>
      <c r="C84" s="2" t="s">
        <v>247</v>
      </c>
      <c r="D84" s="1" t="s">
        <v>253</v>
      </c>
      <c r="E84" s="1" t="s">
        <v>254</v>
      </c>
      <c r="F84" s="3">
        <v>0</v>
      </c>
      <c r="G84" s="3">
        <v>0</v>
      </c>
      <c r="H84" s="3">
        <v>0</v>
      </c>
      <c r="I84" s="3">
        <v>835063074.23000002</v>
      </c>
      <c r="J84" s="3">
        <v>0</v>
      </c>
      <c r="K84" s="3">
        <f t="shared" si="44"/>
        <v>835063074.23000002</v>
      </c>
      <c r="L84" s="29">
        <v>652422698</v>
      </c>
      <c r="M84" s="4">
        <f t="shared" si="39"/>
        <v>0.78128553175649618</v>
      </c>
      <c r="N84" s="3">
        <f t="shared" si="43"/>
        <v>182640376.23000002</v>
      </c>
    </row>
    <row r="85" spans="1:15" ht="60" x14ac:dyDescent="0.25">
      <c r="B85" s="1" t="s">
        <v>152</v>
      </c>
      <c r="C85" s="2" t="s">
        <v>247</v>
      </c>
      <c r="D85" s="1" t="s">
        <v>255</v>
      </c>
      <c r="E85" s="1" t="s">
        <v>256</v>
      </c>
      <c r="F85" s="3">
        <v>0</v>
      </c>
      <c r="G85" s="3">
        <v>0</v>
      </c>
      <c r="H85" s="3">
        <v>0</v>
      </c>
      <c r="I85" s="3">
        <v>1077357100.0899999</v>
      </c>
      <c r="J85" s="3">
        <v>0</v>
      </c>
      <c r="K85" s="3">
        <f t="shared" si="44"/>
        <v>1077357100.0899999</v>
      </c>
      <c r="L85" s="29">
        <v>1077357099.99</v>
      </c>
      <c r="M85" s="4">
        <f t="shared" si="39"/>
        <v>0.99999999990718036</v>
      </c>
      <c r="N85" s="3">
        <f t="shared" si="43"/>
        <v>9.9999904632568359E-2</v>
      </c>
    </row>
    <row r="86" spans="1:15" ht="60" x14ac:dyDescent="0.25">
      <c r="B86" s="1" t="s">
        <v>152</v>
      </c>
      <c r="C86" s="2" t="s">
        <v>247</v>
      </c>
      <c r="D86" s="1" t="s">
        <v>257</v>
      </c>
      <c r="E86" s="1" t="s">
        <v>258</v>
      </c>
      <c r="F86" s="3">
        <v>0</v>
      </c>
      <c r="G86" s="3">
        <v>0</v>
      </c>
      <c r="H86" s="3">
        <v>0</v>
      </c>
      <c r="I86" s="3">
        <v>45190353.859999999</v>
      </c>
      <c r="J86" s="3">
        <v>0</v>
      </c>
      <c r="K86" s="3">
        <f t="shared" si="44"/>
        <v>45190353.859999999</v>
      </c>
      <c r="L86" s="29">
        <v>11021410</v>
      </c>
      <c r="M86" s="4">
        <f t="shared" si="39"/>
        <v>0.24388855272398172</v>
      </c>
      <c r="N86" s="3">
        <f t="shared" si="43"/>
        <v>34168943.859999999</v>
      </c>
      <c r="O86" s="6">
        <f>SUBTOTAL(9,L83:L86)</f>
        <v>1822762854.99</v>
      </c>
    </row>
    <row r="87" spans="1:15" ht="60" x14ac:dyDescent="0.25">
      <c r="B87" s="1" t="s">
        <v>152</v>
      </c>
      <c r="C87" s="2" t="s">
        <v>247</v>
      </c>
      <c r="D87" s="1" t="s">
        <v>269</v>
      </c>
      <c r="E87" s="1" t="s">
        <v>270</v>
      </c>
      <c r="F87" s="3">
        <v>0</v>
      </c>
      <c r="G87" s="3">
        <v>0</v>
      </c>
      <c r="H87" s="3">
        <v>0</v>
      </c>
      <c r="I87" s="3">
        <v>2961691538</v>
      </c>
      <c r="J87" s="3">
        <v>0</v>
      </c>
      <c r="K87" s="3">
        <f t="shared" si="44"/>
        <v>2961691538</v>
      </c>
      <c r="L87" s="29">
        <v>0</v>
      </c>
      <c r="M87" s="4">
        <f t="shared" si="39"/>
        <v>0</v>
      </c>
      <c r="N87" s="3">
        <f t="shared" si="43"/>
        <v>2961691538</v>
      </c>
    </row>
    <row r="88" spans="1:15" ht="60" x14ac:dyDescent="0.25">
      <c r="B88" s="1" t="s">
        <v>152</v>
      </c>
      <c r="C88" s="2" t="s">
        <v>222</v>
      </c>
      <c r="D88" s="1" t="s">
        <v>267</v>
      </c>
      <c r="E88" s="1" t="s">
        <v>268</v>
      </c>
      <c r="F88" s="3">
        <v>0</v>
      </c>
      <c r="G88" s="3">
        <v>0</v>
      </c>
      <c r="H88" s="3">
        <v>0</v>
      </c>
      <c r="I88" s="3">
        <v>59078000</v>
      </c>
      <c r="J88" s="3">
        <v>0</v>
      </c>
      <c r="K88" s="3">
        <f t="shared" si="44"/>
        <v>59078000</v>
      </c>
      <c r="L88" s="29">
        <v>59078000</v>
      </c>
      <c r="M88" s="4">
        <f t="shared" si="39"/>
        <v>1</v>
      </c>
      <c r="N88" s="3">
        <f t="shared" si="43"/>
        <v>0</v>
      </c>
    </row>
    <row r="89" spans="1:15" ht="60" x14ac:dyDescent="0.25">
      <c r="B89" s="1" t="s">
        <v>152</v>
      </c>
      <c r="C89" s="2" t="s">
        <v>222</v>
      </c>
      <c r="D89" s="1" t="s">
        <v>223</v>
      </c>
      <c r="E89" s="1" t="s">
        <v>224</v>
      </c>
      <c r="F89" s="3">
        <v>0</v>
      </c>
      <c r="G89" s="3">
        <v>0</v>
      </c>
      <c r="H89" s="3">
        <v>0</v>
      </c>
      <c r="I89" s="3">
        <v>1000000000</v>
      </c>
      <c r="J89" s="3"/>
      <c r="K89" s="3">
        <f t="shared" si="44"/>
        <v>1000000000</v>
      </c>
      <c r="L89" s="29">
        <v>906355301</v>
      </c>
      <c r="M89" s="4">
        <f t="shared" si="39"/>
        <v>0.90635530099999995</v>
      </c>
      <c r="N89" s="3">
        <f t="shared" si="43"/>
        <v>93644699</v>
      </c>
    </row>
    <row r="90" spans="1:15" ht="60" x14ac:dyDescent="0.25">
      <c r="B90" s="1" t="s">
        <v>152</v>
      </c>
      <c r="C90" s="2" t="s">
        <v>222</v>
      </c>
      <c r="D90" s="1" t="s">
        <v>225</v>
      </c>
      <c r="E90" s="1" t="s">
        <v>226</v>
      </c>
      <c r="F90" s="3">
        <v>0</v>
      </c>
      <c r="G90" s="3">
        <v>0</v>
      </c>
      <c r="H90" s="3">
        <v>0</v>
      </c>
      <c r="I90" s="3">
        <v>2687727270</v>
      </c>
      <c r="J90" s="3">
        <v>0</v>
      </c>
      <c r="K90" s="3">
        <f t="shared" si="44"/>
        <v>2687727270</v>
      </c>
      <c r="L90" s="29">
        <v>2687727269</v>
      </c>
      <c r="M90" s="4">
        <f t="shared" si="39"/>
        <v>0.9999999996279384</v>
      </c>
      <c r="N90" s="3">
        <f t="shared" si="43"/>
        <v>1</v>
      </c>
    </row>
    <row r="91" spans="1:15" ht="30" x14ac:dyDescent="0.25">
      <c r="A91" s="6">
        <v>5</v>
      </c>
      <c r="B91" s="14" t="s">
        <v>160</v>
      </c>
      <c r="C91" s="13" t="s">
        <v>161</v>
      </c>
      <c r="D91" s="14"/>
      <c r="E91" s="14"/>
      <c r="F91" s="15">
        <f t="shared" ref="F91:L91" si="45">SUM(F92:F96)</f>
        <v>2169560667</v>
      </c>
      <c r="G91" s="15">
        <f t="shared" si="45"/>
        <v>0</v>
      </c>
      <c r="H91" s="15">
        <f t="shared" si="45"/>
        <v>0</v>
      </c>
      <c r="I91" s="15">
        <f t="shared" si="45"/>
        <v>2362183193.0300002</v>
      </c>
      <c r="J91" s="15">
        <f t="shared" si="45"/>
        <v>0</v>
      </c>
      <c r="K91" s="15">
        <f t="shared" si="45"/>
        <v>4531743860.0299997</v>
      </c>
      <c r="L91" s="15">
        <f t="shared" si="45"/>
        <v>2094381150.1399999</v>
      </c>
      <c r="M91" s="16">
        <f t="shared" si="39"/>
        <v>0.46215788332885505</v>
      </c>
      <c r="N91" s="15">
        <f>SUM(N92:N96)</f>
        <v>2437362709.8900003</v>
      </c>
      <c r="O91" s="5"/>
    </row>
    <row r="92" spans="1:15" ht="30" x14ac:dyDescent="0.25">
      <c r="A92" s="6">
        <v>6</v>
      </c>
      <c r="B92" s="1" t="s">
        <v>160</v>
      </c>
      <c r="C92" s="2" t="s">
        <v>227</v>
      </c>
      <c r="D92" s="1" t="s">
        <v>155</v>
      </c>
      <c r="E92" s="1" t="s">
        <v>218</v>
      </c>
      <c r="F92" s="3">
        <v>575746557</v>
      </c>
      <c r="G92" s="3">
        <v>0</v>
      </c>
      <c r="H92" s="3">
        <v>0</v>
      </c>
      <c r="I92" s="3">
        <v>0</v>
      </c>
      <c r="J92" s="3">
        <v>0</v>
      </c>
      <c r="K92" s="3">
        <f>+F92+G92-H92+I92-J92</f>
        <v>575746557</v>
      </c>
      <c r="L92" s="29">
        <v>575067273</v>
      </c>
      <c r="M92" s="4">
        <f t="shared" si="39"/>
        <v>0.99882016836793697</v>
      </c>
      <c r="N92" s="3">
        <f>+K92-L92</f>
        <v>679284</v>
      </c>
    </row>
    <row r="93" spans="1:15" ht="30" x14ac:dyDescent="0.25">
      <c r="B93" s="1" t="s">
        <v>160</v>
      </c>
      <c r="C93" s="2" t="s">
        <v>227</v>
      </c>
      <c r="D93" s="1" t="s">
        <v>157</v>
      </c>
      <c r="E93" s="1" t="s">
        <v>219</v>
      </c>
      <c r="F93" s="3">
        <v>342991514</v>
      </c>
      <c r="G93" s="3">
        <v>0</v>
      </c>
      <c r="H93" s="3">
        <v>0</v>
      </c>
      <c r="I93" s="3">
        <v>0</v>
      </c>
      <c r="J93" s="3">
        <v>0</v>
      </c>
      <c r="K93" s="3">
        <f t="shared" ref="K93:K96" si="46">+F93+G93-H93+I93-J93</f>
        <v>342991514</v>
      </c>
      <c r="L93" s="29">
        <v>268545821.13999999</v>
      </c>
      <c r="M93" s="4">
        <f t="shared" si="39"/>
        <v>0.78295179378694479</v>
      </c>
      <c r="N93" s="3">
        <f>+K93-L93</f>
        <v>74445692.860000014</v>
      </c>
    </row>
    <row r="94" spans="1:15" ht="30" x14ac:dyDescent="0.25">
      <c r="B94" s="1" t="s">
        <v>160</v>
      </c>
      <c r="C94" s="2" t="s">
        <v>227</v>
      </c>
      <c r="D94" s="1" t="s">
        <v>159</v>
      </c>
      <c r="E94" s="1" t="s">
        <v>220</v>
      </c>
      <c r="F94" s="3">
        <v>1250822596</v>
      </c>
      <c r="G94" s="3">
        <v>0</v>
      </c>
      <c r="H94" s="3">
        <v>0</v>
      </c>
      <c r="I94" s="3">
        <v>0</v>
      </c>
      <c r="J94" s="3">
        <v>0</v>
      </c>
      <c r="K94" s="3">
        <f t="shared" si="46"/>
        <v>1250822596</v>
      </c>
      <c r="L94" s="29">
        <v>1250768056</v>
      </c>
      <c r="M94" s="4">
        <f t="shared" si="39"/>
        <v>0.9999563966943239</v>
      </c>
      <c r="N94" s="3">
        <f>+K94-L94</f>
        <v>54540</v>
      </c>
    </row>
    <row r="95" spans="1:15" ht="30" x14ac:dyDescent="0.25">
      <c r="B95" s="1" t="s">
        <v>160</v>
      </c>
      <c r="C95" s="2" t="s">
        <v>227</v>
      </c>
      <c r="D95" s="1" t="s">
        <v>260</v>
      </c>
      <c r="E95" s="1" t="s">
        <v>261</v>
      </c>
      <c r="F95" s="3">
        <v>0</v>
      </c>
      <c r="G95" s="3">
        <v>0</v>
      </c>
      <c r="H95" s="3">
        <v>0</v>
      </c>
      <c r="I95" s="3">
        <v>2261372998.21</v>
      </c>
      <c r="J95" s="3">
        <v>0</v>
      </c>
      <c r="K95" s="3">
        <f t="shared" si="46"/>
        <v>2261372998.21</v>
      </c>
      <c r="L95" s="29">
        <v>0</v>
      </c>
      <c r="M95" s="4">
        <f t="shared" si="39"/>
        <v>0</v>
      </c>
      <c r="N95" s="3">
        <f>+K95-L95</f>
        <v>2261372998.21</v>
      </c>
    </row>
    <row r="96" spans="1:15" ht="30" x14ac:dyDescent="0.25">
      <c r="B96" s="1" t="s">
        <v>160</v>
      </c>
      <c r="C96" s="2" t="s">
        <v>259</v>
      </c>
      <c r="D96" s="1" t="s">
        <v>269</v>
      </c>
      <c r="E96" s="1" t="s">
        <v>270</v>
      </c>
      <c r="F96" s="3">
        <v>0</v>
      </c>
      <c r="G96" s="3">
        <v>0</v>
      </c>
      <c r="H96" s="3">
        <v>0</v>
      </c>
      <c r="I96" s="3">
        <v>100810194.81999999</v>
      </c>
      <c r="J96" s="3">
        <v>0</v>
      </c>
      <c r="K96" s="3">
        <f t="shared" si="46"/>
        <v>100810194.81999999</v>
      </c>
      <c r="L96" s="29">
        <v>0</v>
      </c>
      <c r="M96" s="4">
        <f t="shared" si="39"/>
        <v>0</v>
      </c>
      <c r="N96" s="3">
        <f>+K96-L96</f>
        <v>100810194.81999999</v>
      </c>
    </row>
    <row r="97" spans="1:15" ht="45" x14ac:dyDescent="0.25">
      <c r="A97" s="6">
        <v>11</v>
      </c>
      <c r="B97" s="14" t="s">
        <v>167</v>
      </c>
      <c r="C97" s="13" t="s">
        <v>168</v>
      </c>
      <c r="D97" s="14"/>
      <c r="E97" s="14"/>
      <c r="F97" s="15">
        <f t="shared" ref="F97:L97" si="47">SUM(F98:F100)</f>
        <v>2903434996</v>
      </c>
      <c r="G97" s="15">
        <f t="shared" si="47"/>
        <v>0</v>
      </c>
      <c r="H97" s="15">
        <f t="shared" si="47"/>
        <v>0</v>
      </c>
      <c r="I97" s="15">
        <f t="shared" si="47"/>
        <v>0</v>
      </c>
      <c r="J97" s="15">
        <f t="shared" si="47"/>
        <v>0</v>
      </c>
      <c r="K97" s="15">
        <f t="shared" si="47"/>
        <v>2903434996</v>
      </c>
      <c r="L97" s="15">
        <f t="shared" si="47"/>
        <v>2660104366.5</v>
      </c>
      <c r="M97" s="16">
        <f t="shared" si="39"/>
        <v>0.91619215521090314</v>
      </c>
      <c r="N97" s="3">
        <f>SUM(N98:N100)</f>
        <v>243330629.49999997</v>
      </c>
    </row>
    <row r="98" spans="1:15" ht="45" x14ac:dyDescent="0.25">
      <c r="A98" s="6">
        <v>12</v>
      </c>
      <c r="B98" s="1" t="s">
        <v>167</v>
      </c>
      <c r="C98" s="2" t="s">
        <v>228</v>
      </c>
      <c r="D98" s="1" t="s">
        <v>155</v>
      </c>
      <c r="E98" s="1" t="s">
        <v>218</v>
      </c>
      <c r="F98" s="3">
        <v>684198431</v>
      </c>
      <c r="G98" s="3">
        <v>0</v>
      </c>
      <c r="H98" s="3">
        <v>0</v>
      </c>
      <c r="I98" s="3">
        <v>0</v>
      </c>
      <c r="J98" s="3">
        <v>0</v>
      </c>
      <c r="K98" s="3">
        <f>+F98+G98-H98+I98-J98</f>
        <v>684198431</v>
      </c>
      <c r="L98" s="29">
        <v>666328470.98000002</v>
      </c>
      <c r="M98" s="4">
        <f t="shared" si="39"/>
        <v>0.97388190441494893</v>
      </c>
      <c r="N98" s="3">
        <f>+K98-L98</f>
        <v>17869960.019999981</v>
      </c>
    </row>
    <row r="99" spans="1:15" ht="45" x14ac:dyDescent="0.25">
      <c r="B99" s="1" t="s">
        <v>167</v>
      </c>
      <c r="C99" s="2" t="s">
        <v>228</v>
      </c>
      <c r="D99" s="1" t="s">
        <v>157</v>
      </c>
      <c r="E99" s="1" t="s">
        <v>219</v>
      </c>
      <c r="F99" s="3">
        <v>342991510</v>
      </c>
      <c r="G99" s="3">
        <v>0</v>
      </c>
      <c r="H99" s="3">
        <v>0</v>
      </c>
      <c r="I99" s="3">
        <v>0</v>
      </c>
      <c r="J99" s="3">
        <v>0</v>
      </c>
      <c r="K99" s="3">
        <f t="shared" ref="K99:K100" si="48">+F99+G99-H99+I99-J99</f>
        <v>342991510</v>
      </c>
      <c r="L99" s="29">
        <v>260751737.52000001</v>
      </c>
      <c r="M99" s="4">
        <f t="shared" si="39"/>
        <v>0.76022796459305952</v>
      </c>
      <c r="N99" s="3">
        <f>+K99-L99</f>
        <v>82239772.479999989</v>
      </c>
    </row>
    <row r="100" spans="1:15" ht="45" x14ac:dyDescent="0.25">
      <c r="B100" s="1" t="s">
        <v>167</v>
      </c>
      <c r="C100" s="2" t="s">
        <v>228</v>
      </c>
      <c r="D100" s="1" t="s">
        <v>159</v>
      </c>
      <c r="E100" s="1" t="s">
        <v>220</v>
      </c>
      <c r="F100" s="3">
        <v>1876245055</v>
      </c>
      <c r="G100" s="3">
        <v>0</v>
      </c>
      <c r="H100" s="3">
        <v>0</v>
      </c>
      <c r="I100" s="3">
        <v>0</v>
      </c>
      <c r="J100" s="3">
        <v>0</v>
      </c>
      <c r="K100" s="3">
        <f t="shared" si="48"/>
        <v>1876245055</v>
      </c>
      <c r="L100" s="29">
        <v>1733024158</v>
      </c>
      <c r="M100" s="4">
        <f t="shared" si="39"/>
        <v>0.9236662094760324</v>
      </c>
      <c r="N100" s="3">
        <f>+K100-L100</f>
        <v>143220897</v>
      </c>
    </row>
    <row r="101" spans="1:15" ht="45" x14ac:dyDescent="0.25">
      <c r="A101" s="6">
        <v>17</v>
      </c>
      <c r="B101" s="14" t="s">
        <v>172</v>
      </c>
      <c r="C101" s="13" t="s">
        <v>173</v>
      </c>
      <c r="D101" s="14"/>
      <c r="E101" s="14"/>
      <c r="F101" s="15">
        <f t="shared" ref="F101:L101" si="49">SUM(F102:F103)</f>
        <v>444086994</v>
      </c>
      <c r="G101" s="15">
        <f t="shared" si="49"/>
        <v>0</v>
      </c>
      <c r="H101" s="15">
        <f t="shared" si="49"/>
        <v>0</v>
      </c>
      <c r="I101" s="15">
        <f t="shared" si="49"/>
        <v>0</v>
      </c>
      <c r="J101" s="15">
        <f t="shared" si="49"/>
        <v>0</v>
      </c>
      <c r="K101" s="15">
        <f t="shared" si="49"/>
        <v>444086994</v>
      </c>
      <c r="L101" s="15">
        <f t="shared" si="49"/>
        <v>385883753.30000001</v>
      </c>
      <c r="M101" s="16">
        <f t="shared" si="39"/>
        <v>0.86893729947875942</v>
      </c>
      <c r="N101" s="15">
        <f>SUM(N102:N103)</f>
        <v>58203240.699999988</v>
      </c>
      <c r="O101" s="6">
        <v>385883753.30000001</v>
      </c>
    </row>
    <row r="102" spans="1:15" ht="45" x14ac:dyDescent="0.25">
      <c r="A102" s="6">
        <v>19</v>
      </c>
      <c r="B102" s="1" t="s">
        <v>172</v>
      </c>
      <c r="C102" s="2" t="s">
        <v>229</v>
      </c>
      <c r="D102" s="1" t="s">
        <v>155</v>
      </c>
      <c r="E102" s="1" t="s">
        <v>218</v>
      </c>
      <c r="F102" s="3">
        <v>193913547</v>
      </c>
      <c r="G102" s="3">
        <v>0</v>
      </c>
      <c r="H102" s="3">
        <v>0</v>
      </c>
      <c r="I102" s="3">
        <v>0</v>
      </c>
      <c r="J102" s="3">
        <v>0</v>
      </c>
      <c r="K102" s="3">
        <f>+F102+G102-H102+I102-J102</f>
        <v>193913547</v>
      </c>
      <c r="L102" s="29">
        <v>193043551.30000001</v>
      </c>
      <c r="M102" s="4">
        <f t="shared" si="39"/>
        <v>0.99551348673953144</v>
      </c>
      <c r="N102" s="3">
        <f>+K102-L102</f>
        <v>869995.69999998808</v>
      </c>
      <c r="O102" s="5"/>
    </row>
    <row r="103" spans="1:15" ht="45" x14ac:dyDescent="0.25">
      <c r="B103" s="1" t="s">
        <v>172</v>
      </c>
      <c r="C103" s="2" t="s">
        <v>229</v>
      </c>
      <c r="D103" s="1" t="s">
        <v>159</v>
      </c>
      <c r="E103" s="1" t="s">
        <v>220</v>
      </c>
      <c r="F103" s="3">
        <v>250173447</v>
      </c>
      <c r="G103" s="3">
        <v>0</v>
      </c>
      <c r="H103" s="3">
        <v>0</v>
      </c>
      <c r="I103" s="3">
        <v>0</v>
      </c>
      <c r="J103" s="3">
        <v>0</v>
      </c>
      <c r="K103" s="3">
        <f t="shared" ref="K103" si="50">+F103+G103-H103+I103-J103</f>
        <v>250173447</v>
      </c>
      <c r="L103" s="29">
        <v>192840202</v>
      </c>
      <c r="M103" s="4">
        <f t="shared" si="39"/>
        <v>0.77082601815851381</v>
      </c>
      <c r="N103" s="3">
        <f>+K103-L103</f>
        <v>57333245</v>
      </c>
    </row>
    <row r="104" spans="1:15" ht="45" x14ac:dyDescent="0.25">
      <c r="A104" s="6">
        <v>20</v>
      </c>
      <c r="B104" s="14" t="s">
        <v>177</v>
      </c>
      <c r="C104" s="13" t="s">
        <v>178</v>
      </c>
      <c r="D104" s="14"/>
      <c r="E104" s="14"/>
      <c r="F104" s="15">
        <f t="shared" ref="F104:L104" si="51">SUM(F105:F108)</f>
        <v>2050592850</v>
      </c>
      <c r="G104" s="15">
        <f t="shared" si="51"/>
        <v>0</v>
      </c>
      <c r="H104" s="15">
        <f t="shared" si="51"/>
        <v>0</v>
      </c>
      <c r="I104" s="15">
        <f t="shared" si="51"/>
        <v>387505076.31</v>
      </c>
      <c r="J104" s="15">
        <f t="shared" si="51"/>
        <v>0</v>
      </c>
      <c r="K104" s="15">
        <f t="shared" si="51"/>
        <v>2438097926.3099999</v>
      </c>
      <c r="L104" s="15">
        <f t="shared" si="51"/>
        <v>1480529600</v>
      </c>
      <c r="M104" s="16">
        <f t="shared" si="39"/>
        <v>0.6072477992058114</v>
      </c>
      <c r="N104" s="15">
        <f>SUM(N105:N108)</f>
        <v>957568326.30999994</v>
      </c>
    </row>
    <row r="105" spans="1:15" ht="45" x14ac:dyDescent="0.25">
      <c r="A105" s="6">
        <v>21</v>
      </c>
      <c r="B105" s="1" t="s">
        <v>177</v>
      </c>
      <c r="C105" s="2" t="s">
        <v>230</v>
      </c>
      <c r="D105" s="1" t="s">
        <v>155</v>
      </c>
      <c r="E105" s="1" t="s">
        <v>218</v>
      </c>
      <c r="F105" s="3">
        <v>630061477</v>
      </c>
      <c r="G105" s="3">
        <v>0</v>
      </c>
      <c r="H105" s="3">
        <v>0</v>
      </c>
      <c r="I105" s="3">
        <v>0</v>
      </c>
      <c r="J105" s="3">
        <v>0</v>
      </c>
      <c r="K105" s="3">
        <f t="shared" ref="K105:K108" si="52">SUM(F105:J105)</f>
        <v>630061477</v>
      </c>
      <c r="L105" s="29">
        <v>630061475</v>
      </c>
      <c r="M105" s="4">
        <f t="shared" si="39"/>
        <v>0.99999999682570662</v>
      </c>
      <c r="N105" s="3">
        <f>+K105-L105</f>
        <v>2</v>
      </c>
      <c r="O105" s="28"/>
    </row>
    <row r="106" spans="1:15" ht="45" x14ac:dyDescent="0.25">
      <c r="B106" s="1" t="s">
        <v>177</v>
      </c>
      <c r="C106" s="2" t="s">
        <v>230</v>
      </c>
      <c r="D106" s="1" t="s">
        <v>157</v>
      </c>
      <c r="E106" s="1" t="s">
        <v>219</v>
      </c>
      <c r="F106" s="3">
        <v>857478778</v>
      </c>
      <c r="G106" s="3">
        <v>0</v>
      </c>
      <c r="H106" s="3">
        <v>0</v>
      </c>
      <c r="I106" s="3">
        <v>0</v>
      </c>
      <c r="J106" s="3">
        <v>0</v>
      </c>
      <c r="K106" s="3">
        <f t="shared" si="52"/>
        <v>857478778</v>
      </c>
      <c r="L106" s="29">
        <v>119692264</v>
      </c>
      <c r="M106" s="4">
        <f t="shared" si="39"/>
        <v>0.13958626973739519</v>
      </c>
      <c r="N106" s="3">
        <f>+K106-L106</f>
        <v>737786514</v>
      </c>
      <c r="O106" s="5"/>
    </row>
    <row r="107" spans="1:15" ht="45" x14ac:dyDescent="0.25">
      <c r="B107" s="1" t="s">
        <v>177</v>
      </c>
      <c r="C107" s="2" t="s">
        <v>230</v>
      </c>
      <c r="D107" s="1" t="s">
        <v>159</v>
      </c>
      <c r="E107" s="1" t="s">
        <v>220</v>
      </c>
      <c r="F107" s="3">
        <v>563052595</v>
      </c>
      <c r="G107" s="3">
        <v>0</v>
      </c>
      <c r="H107" s="3">
        <v>0</v>
      </c>
      <c r="I107" s="3">
        <v>0</v>
      </c>
      <c r="J107" s="3">
        <v>0</v>
      </c>
      <c r="K107" s="3">
        <f t="shared" si="52"/>
        <v>563052595</v>
      </c>
      <c r="L107" s="29">
        <v>427181194</v>
      </c>
      <c r="M107" s="4">
        <f t="shared" si="39"/>
        <v>0.75868790552328425</v>
      </c>
      <c r="N107" s="3">
        <f>+K107-L107</f>
        <v>135871401</v>
      </c>
    </row>
    <row r="108" spans="1:15" ht="45" x14ac:dyDescent="0.25">
      <c r="B108" s="1" t="s">
        <v>177</v>
      </c>
      <c r="C108" s="2" t="s">
        <v>178</v>
      </c>
      <c r="D108" s="1" t="s">
        <v>260</v>
      </c>
      <c r="E108" s="1" t="s">
        <v>261</v>
      </c>
      <c r="F108" s="3">
        <v>0</v>
      </c>
      <c r="G108" s="3">
        <v>0</v>
      </c>
      <c r="H108" s="3">
        <v>0</v>
      </c>
      <c r="I108" s="3">
        <v>387505076.31</v>
      </c>
      <c r="J108" s="3">
        <v>0</v>
      </c>
      <c r="K108" s="3">
        <f t="shared" si="52"/>
        <v>387505076.31</v>
      </c>
      <c r="L108" s="29">
        <v>303594667</v>
      </c>
      <c r="M108" s="4">
        <f t="shared" si="39"/>
        <v>0.78345984494181808</v>
      </c>
      <c r="N108" s="3">
        <f>+K108-L108</f>
        <v>83910409.310000002</v>
      </c>
      <c r="O108" s="5"/>
    </row>
    <row r="109" spans="1:15" ht="45" x14ac:dyDescent="0.25">
      <c r="A109" s="6">
        <v>36</v>
      </c>
      <c r="B109" s="14" t="s">
        <v>185</v>
      </c>
      <c r="C109" s="13" t="s">
        <v>186</v>
      </c>
      <c r="D109" s="14"/>
      <c r="E109" s="14"/>
      <c r="F109" s="15">
        <f t="shared" ref="F109:L109" si="53">SUM(F110:F112)</f>
        <v>2006706049</v>
      </c>
      <c r="G109" s="15">
        <f t="shared" si="53"/>
        <v>0</v>
      </c>
      <c r="H109" s="15">
        <f t="shared" si="53"/>
        <v>0</v>
      </c>
      <c r="I109" s="15">
        <f t="shared" si="53"/>
        <v>0</v>
      </c>
      <c r="J109" s="15">
        <f t="shared" si="53"/>
        <v>0</v>
      </c>
      <c r="K109" s="15">
        <f t="shared" si="53"/>
        <v>2006706049</v>
      </c>
      <c r="L109" s="15">
        <f t="shared" si="53"/>
        <v>1758199743.6900001</v>
      </c>
      <c r="M109" s="16">
        <f t="shared" si="39"/>
        <v>0.87616207892838227</v>
      </c>
      <c r="N109" s="15">
        <f>SUM(N110:N112)</f>
        <v>248506305.31</v>
      </c>
    </row>
    <row r="110" spans="1:15" ht="45" x14ac:dyDescent="0.25">
      <c r="A110" s="6">
        <v>37</v>
      </c>
      <c r="B110" s="1" t="s">
        <v>185</v>
      </c>
      <c r="C110" s="2" t="s">
        <v>231</v>
      </c>
      <c r="D110" s="1" t="s">
        <v>155</v>
      </c>
      <c r="E110" s="1" t="s">
        <v>218</v>
      </c>
      <c r="F110" s="3">
        <v>479441153</v>
      </c>
      <c r="G110" s="3">
        <v>0</v>
      </c>
      <c r="H110" s="3">
        <v>0</v>
      </c>
      <c r="I110" s="3">
        <v>0</v>
      </c>
      <c r="J110" s="3">
        <v>0</v>
      </c>
      <c r="K110" s="3">
        <f>+F110+G110-H110+I110-J110</f>
        <v>479441153</v>
      </c>
      <c r="L110" s="29">
        <v>332965038.19</v>
      </c>
      <c r="M110" s="4">
        <f t="shared" si="39"/>
        <v>0.69448572803261222</v>
      </c>
      <c r="N110" s="3">
        <f>+K110-L110</f>
        <v>146476114.81</v>
      </c>
    </row>
    <row r="111" spans="1:15" ht="45" x14ac:dyDescent="0.25">
      <c r="B111" s="1" t="s">
        <v>185</v>
      </c>
      <c r="C111" s="2" t="s">
        <v>231</v>
      </c>
      <c r="D111" s="1" t="s">
        <v>157</v>
      </c>
      <c r="E111" s="1" t="s">
        <v>219</v>
      </c>
      <c r="F111" s="3">
        <v>651683871</v>
      </c>
      <c r="G111" s="3">
        <v>0</v>
      </c>
      <c r="H111" s="3">
        <v>0</v>
      </c>
      <c r="I111" s="3">
        <v>0</v>
      </c>
      <c r="J111" s="3">
        <v>0</v>
      </c>
      <c r="K111" s="3">
        <f t="shared" ref="K111:K112" si="54">+F111+G111-H111+I111-J111</f>
        <v>651683871</v>
      </c>
      <c r="L111" s="29">
        <v>561675610.5</v>
      </c>
      <c r="M111" s="4">
        <f t="shared" si="39"/>
        <v>0.86188355350596058</v>
      </c>
      <c r="N111" s="3">
        <f>+K111-L111</f>
        <v>90008260.5</v>
      </c>
    </row>
    <row r="112" spans="1:15" ht="45" x14ac:dyDescent="0.25">
      <c r="B112" s="1" t="s">
        <v>185</v>
      </c>
      <c r="C112" s="2" t="s">
        <v>231</v>
      </c>
      <c r="D112" s="1" t="s">
        <v>159</v>
      </c>
      <c r="E112" s="1" t="s">
        <v>220</v>
      </c>
      <c r="F112" s="3">
        <v>875581025</v>
      </c>
      <c r="G112" s="3">
        <v>0</v>
      </c>
      <c r="H112" s="3">
        <v>0</v>
      </c>
      <c r="I112" s="3">
        <v>0</v>
      </c>
      <c r="J112" s="3">
        <v>0</v>
      </c>
      <c r="K112" s="3">
        <f t="shared" si="54"/>
        <v>875581025</v>
      </c>
      <c r="L112" s="29">
        <v>863559095</v>
      </c>
      <c r="M112" s="4">
        <f t="shared" si="39"/>
        <v>0.9862697686944506</v>
      </c>
      <c r="N112" s="3">
        <f>+K112-L112</f>
        <v>12021930</v>
      </c>
      <c r="O112" s="5"/>
    </row>
    <row r="113" spans="1:16" x14ac:dyDescent="0.25">
      <c r="A113" s="6">
        <v>42</v>
      </c>
      <c r="B113" s="14" t="s">
        <v>191</v>
      </c>
      <c r="C113" s="13" t="s">
        <v>192</v>
      </c>
      <c r="D113" s="14"/>
      <c r="E113" s="14"/>
      <c r="F113" s="15">
        <f t="shared" ref="F113:K113" si="55">+F114</f>
        <v>2797573420</v>
      </c>
      <c r="G113" s="15">
        <f t="shared" si="55"/>
        <v>0</v>
      </c>
      <c r="H113" s="15">
        <f t="shared" si="55"/>
        <v>0</v>
      </c>
      <c r="I113" s="15">
        <f t="shared" si="55"/>
        <v>1614764595.29</v>
      </c>
      <c r="J113" s="15">
        <f t="shared" si="55"/>
        <v>0</v>
      </c>
      <c r="K113" s="15">
        <f t="shared" si="55"/>
        <v>4412338015.29</v>
      </c>
      <c r="L113" s="15">
        <f>+L114</f>
        <v>3867613081.5700002</v>
      </c>
      <c r="M113" s="16">
        <f t="shared" si="39"/>
        <v>0.87654505800952376</v>
      </c>
      <c r="N113" s="15">
        <f>+N114</f>
        <v>544724933.72000003</v>
      </c>
    </row>
    <row r="114" spans="1:16" x14ac:dyDescent="0.25">
      <c r="A114" s="6">
        <v>43</v>
      </c>
      <c r="B114" s="14" t="s">
        <v>193</v>
      </c>
      <c r="C114" s="13" t="s">
        <v>151</v>
      </c>
      <c r="D114" s="14"/>
      <c r="E114" s="14"/>
      <c r="F114" s="15">
        <f t="shared" ref="F114:L114" si="56">+F115+F126</f>
        <v>2797573420</v>
      </c>
      <c r="G114" s="15">
        <f t="shared" si="56"/>
        <v>0</v>
      </c>
      <c r="H114" s="15">
        <f t="shared" si="56"/>
        <v>0</v>
      </c>
      <c r="I114" s="15">
        <f t="shared" si="56"/>
        <v>1614764595.29</v>
      </c>
      <c r="J114" s="15">
        <f t="shared" si="56"/>
        <v>0</v>
      </c>
      <c r="K114" s="15">
        <f t="shared" si="56"/>
        <v>4412338015.29</v>
      </c>
      <c r="L114" s="15">
        <f t="shared" si="56"/>
        <v>3867613081.5700002</v>
      </c>
      <c r="M114" s="16">
        <f t="shared" si="39"/>
        <v>0.87654505800952376</v>
      </c>
      <c r="N114" s="15">
        <f>+N115+N126</f>
        <v>544724933.72000003</v>
      </c>
    </row>
    <row r="115" spans="1:16" ht="60" x14ac:dyDescent="0.25">
      <c r="A115" s="6">
        <v>44</v>
      </c>
      <c r="B115" s="14" t="s">
        <v>232</v>
      </c>
      <c r="C115" s="13" t="s">
        <v>194</v>
      </c>
      <c r="D115" s="14"/>
      <c r="E115" s="14"/>
      <c r="F115" s="15">
        <f t="shared" ref="F115:L115" si="57">SUM(F116:F125)</f>
        <v>2145805725</v>
      </c>
      <c r="G115" s="15">
        <f t="shared" si="57"/>
        <v>0</v>
      </c>
      <c r="H115" s="15">
        <f t="shared" si="57"/>
        <v>0</v>
      </c>
      <c r="I115" s="15">
        <f t="shared" si="57"/>
        <v>1614764595.29</v>
      </c>
      <c r="J115" s="15">
        <f t="shared" si="57"/>
        <v>0</v>
      </c>
      <c r="K115" s="15">
        <f t="shared" si="57"/>
        <v>3760570320.29</v>
      </c>
      <c r="L115" s="15">
        <f t="shared" si="57"/>
        <v>3455472364</v>
      </c>
      <c r="M115" s="16">
        <f t="shared" si="39"/>
        <v>0.91886923250873498</v>
      </c>
      <c r="N115" s="15">
        <f>SUM(N116:N125)</f>
        <v>305097956.28999996</v>
      </c>
    </row>
    <row r="116" spans="1:16" ht="60" x14ac:dyDescent="0.25">
      <c r="A116" s="6">
        <v>45</v>
      </c>
      <c r="B116" s="1" t="s">
        <v>232</v>
      </c>
      <c r="C116" s="2" t="s">
        <v>233</v>
      </c>
      <c r="D116" s="1" t="s">
        <v>157</v>
      </c>
      <c r="E116" s="1" t="s">
        <v>219</v>
      </c>
      <c r="F116" s="3">
        <v>651683871</v>
      </c>
      <c r="G116" s="3">
        <v>0</v>
      </c>
      <c r="H116" s="3">
        <v>0</v>
      </c>
      <c r="I116" s="3">
        <v>0</v>
      </c>
      <c r="J116" s="3">
        <v>0</v>
      </c>
      <c r="K116" s="3">
        <f>+F116+G116-H116+I116-J116</f>
        <v>651683871</v>
      </c>
      <c r="L116" s="29">
        <v>543736766</v>
      </c>
      <c r="M116" s="4">
        <f t="shared" si="39"/>
        <v>0.83435664161158896</v>
      </c>
      <c r="N116" s="3">
        <f t="shared" ref="N116:N125" si="58">+K116-L116</f>
        <v>107947105</v>
      </c>
    </row>
    <row r="117" spans="1:16" ht="60" x14ac:dyDescent="0.25">
      <c r="B117" s="1" t="s">
        <v>232</v>
      </c>
      <c r="C117" s="2" t="s">
        <v>233</v>
      </c>
      <c r="D117" s="1" t="s">
        <v>159</v>
      </c>
      <c r="E117" s="1" t="s">
        <v>220</v>
      </c>
      <c r="F117" s="3">
        <v>1494121854</v>
      </c>
      <c r="G117" s="3">
        <v>0</v>
      </c>
      <c r="H117" s="3">
        <v>0</v>
      </c>
      <c r="I117" s="3">
        <v>0</v>
      </c>
      <c r="J117" s="3">
        <v>0</v>
      </c>
      <c r="K117" s="3">
        <f t="shared" ref="K117:K125" si="59">+F117+G117-H117+I117-J117</f>
        <v>1494121854</v>
      </c>
      <c r="L117" s="29">
        <v>1489813289</v>
      </c>
      <c r="M117" s="4">
        <f t="shared" si="39"/>
        <v>0.99711632288326069</v>
      </c>
      <c r="N117" s="3">
        <f t="shared" si="58"/>
        <v>4308565</v>
      </c>
      <c r="P117" s="5"/>
    </row>
    <row r="118" spans="1:16" ht="60" x14ac:dyDescent="0.25">
      <c r="B118" s="1" t="s">
        <v>232</v>
      </c>
      <c r="C118" s="2" t="s">
        <v>194</v>
      </c>
      <c r="D118" s="1" t="s">
        <v>271</v>
      </c>
      <c r="E118" s="1" t="s">
        <v>272</v>
      </c>
      <c r="F118" s="3">
        <v>0</v>
      </c>
      <c r="G118" s="3">
        <v>0</v>
      </c>
      <c r="H118" s="3">
        <v>0</v>
      </c>
      <c r="I118" s="3">
        <v>453394579.52999997</v>
      </c>
      <c r="J118" s="3">
        <v>0</v>
      </c>
      <c r="K118" s="3">
        <f t="shared" si="59"/>
        <v>453394579.52999997</v>
      </c>
      <c r="L118" s="29">
        <v>446400000</v>
      </c>
      <c r="M118" s="4">
        <f t="shared" si="39"/>
        <v>0.98457286468389027</v>
      </c>
      <c r="N118" s="3">
        <f t="shared" si="58"/>
        <v>6994579.5299999714</v>
      </c>
    </row>
    <row r="119" spans="1:16" ht="60" x14ac:dyDescent="0.25">
      <c r="B119" s="1" t="s">
        <v>232</v>
      </c>
      <c r="C119" s="2" t="s">
        <v>194</v>
      </c>
      <c r="D119" s="1" t="s">
        <v>273</v>
      </c>
      <c r="E119" s="1" t="s">
        <v>274</v>
      </c>
      <c r="F119" s="3">
        <v>0</v>
      </c>
      <c r="G119" s="3">
        <v>0</v>
      </c>
      <c r="H119" s="3">
        <v>0</v>
      </c>
      <c r="I119" s="3">
        <v>40707175.859999999</v>
      </c>
      <c r="J119" s="3">
        <v>0</v>
      </c>
      <c r="K119" s="3">
        <f t="shared" si="59"/>
        <v>40707175.859999999</v>
      </c>
      <c r="L119" s="29">
        <v>36000000</v>
      </c>
      <c r="M119" s="4">
        <f t="shared" si="39"/>
        <v>0.884364961200234</v>
      </c>
      <c r="N119" s="3">
        <f t="shared" si="58"/>
        <v>4707175.8599999994</v>
      </c>
    </row>
    <row r="120" spans="1:16" ht="60" x14ac:dyDescent="0.25">
      <c r="B120" s="1" t="s">
        <v>232</v>
      </c>
      <c r="C120" s="2" t="s">
        <v>194</v>
      </c>
      <c r="D120" s="1" t="s">
        <v>269</v>
      </c>
      <c r="E120" s="1" t="s">
        <v>270</v>
      </c>
      <c r="F120" s="3">
        <v>0</v>
      </c>
      <c r="G120" s="3">
        <v>0</v>
      </c>
      <c r="H120" s="3">
        <v>0</v>
      </c>
      <c r="I120" s="3">
        <v>4220277.58</v>
      </c>
      <c r="J120" s="3">
        <v>0</v>
      </c>
      <c r="K120" s="3">
        <f t="shared" si="59"/>
        <v>4220277.58</v>
      </c>
      <c r="L120" s="29">
        <v>0</v>
      </c>
      <c r="M120" s="4">
        <f t="shared" si="39"/>
        <v>0</v>
      </c>
      <c r="N120" s="3">
        <f t="shared" si="58"/>
        <v>4220277.58</v>
      </c>
    </row>
    <row r="121" spans="1:16" ht="60" x14ac:dyDescent="0.25">
      <c r="B121" s="1" t="s">
        <v>232</v>
      </c>
      <c r="C121" s="2" t="s">
        <v>194</v>
      </c>
      <c r="D121" s="1" t="s">
        <v>267</v>
      </c>
      <c r="E121" s="1" t="s">
        <v>268</v>
      </c>
      <c r="F121" s="3">
        <v>0</v>
      </c>
      <c r="G121" s="3">
        <v>0</v>
      </c>
      <c r="H121" s="3">
        <v>0</v>
      </c>
      <c r="I121" s="3">
        <v>77677967.030000001</v>
      </c>
      <c r="J121" s="3"/>
      <c r="K121" s="3">
        <f t="shared" si="59"/>
        <v>77677967.030000001</v>
      </c>
      <c r="L121" s="29">
        <v>50765532.560000002</v>
      </c>
      <c r="M121" s="4">
        <f t="shared" si="39"/>
        <v>0.65353837775380819</v>
      </c>
      <c r="N121" s="3">
        <f t="shared" si="58"/>
        <v>26912434.469999999</v>
      </c>
    </row>
    <row r="122" spans="1:16" ht="60" x14ac:dyDescent="0.25">
      <c r="B122" s="1" t="s">
        <v>232</v>
      </c>
      <c r="C122" s="2" t="s">
        <v>194</v>
      </c>
      <c r="D122" s="1" t="s">
        <v>260</v>
      </c>
      <c r="E122" s="1" t="s">
        <v>261</v>
      </c>
      <c r="F122" s="3">
        <v>0</v>
      </c>
      <c r="G122" s="3">
        <v>0</v>
      </c>
      <c r="H122" s="3">
        <v>0</v>
      </c>
      <c r="I122" s="3">
        <v>305535810.29000002</v>
      </c>
      <c r="J122" s="3"/>
      <c r="K122" s="3">
        <f t="shared" si="59"/>
        <v>305535810.29000002</v>
      </c>
      <c r="L122" s="29">
        <v>295200000</v>
      </c>
      <c r="M122" s="4">
        <f t="shared" si="39"/>
        <v>0.96617152575277587</v>
      </c>
      <c r="N122" s="3">
        <f t="shared" si="58"/>
        <v>10335810.290000021</v>
      </c>
    </row>
    <row r="123" spans="1:16" ht="60" x14ac:dyDescent="0.25">
      <c r="B123" s="1" t="s">
        <v>232</v>
      </c>
      <c r="C123" s="2" t="s">
        <v>194</v>
      </c>
      <c r="D123" s="1" t="s">
        <v>262</v>
      </c>
      <c r="E123" s="1" t="s">
        <v>263</v>
      </c>
      <c r="F123" s="3">
        <v>0</v>
      </c>
      <c r="G123" s="3">
        <v>0</v>
      </c>
      <c r="H123" s="3">
        <v>0</v>
      </c>
      <c r="I123" s="3">
        <v>20048488</v>
      </c>
      <c r="J123" s="3"/>
      <c r="K123" s="3">
        <f t="shared" si="59"/>
        <v>20048488</v>
      </c>
      <c r="L123" s="29">
        <v>14400000</v>
      </c>
      <c r="M123" s="4">
        <f t="shared" si="39"/>
        <v>0.71825865371992137</v>
      </c>
      <c r="N123" s="3">
        <f t="shared" si="58"/>
        <v>5648488</v>
      </c>
    </row>
    <row r="124" spans="1:16" ht="60" x14ac:dyDescent="0.25">
      <c r="B124" s="1" t="s">
        <v>232</v>
      </c>
      <c r="C124" s="2" t="s">
        <v>194</v>
      </c>
      <c r="D124" s="1" t="s">
        <v>264</v>
      </c>
      <c r="E124" s="1" t="s">
        <v>265</v>
      </c>
      <c r="F124" s="3">
        <v>0</v>
      </c>
      <c r="G124" s="3">
        <v>0</v>
      </c>
      <c r="H124" s="3">
        <v>0</v>
      </c>
      <c r="I124" s="3">
        <v>257180297</v>
      </c>
      <c r="J124" s="3"/>
      <c r="K124" s="3">
        <f t="shared" si="59"/>
        <v>257180297</v>
      </c>
      <c r="L124" s="29">
        <v>123956776.44</v>
      </c>
      <c r="M124" s="4">
        <f t="shared" si="39"/>
        <v>0.48198395400406585</v>
      </c>
      <c r="N124" s="3">
        <f t="shared" si="58"/>
        <v>133223520.56</v>
      </c>
    </row>
    <row r="125" spans="1:16" ht="60" x14ac:dyDescent="0.25">
      <c r="B125" s="1" t="s">
        <v>232</v>
      </c>
      <c r="C125" s="2" t="s">
        <v>194</v>
      </c>
      <c r="D125" s="1" t="s">
        <v>253</v>
      </c>
      <c r="E125" s="1" t="s">
        <v>254</v>
      </c>
      <c r="F125" s="3">
        <v>0</v>
      </c>
      <c r="G125" s="3">
        <v>0</v>
      </c>
      <c r="H125" s="3">
        <v>0</v>
      </c>
      <c r="I125" s="3">
        <v>456000000</v>
      </c>
      <c r="J125" s="3">
        <v>0</v>
      </c>
      <c r="K125" s="3">
        <f t="shared" si="59"/>
        <v>456000000</v>
      </c>
      <c r="L125" s="29">
        <v>455200000</v>
      </c>
      <c r="M125" s="4">
        <f t="shared" si="39"/>
        <v>0.99824561403508771</v>
      </c>
      <c r="N125" s="3">
        <f t="shared" si="58"/>
        <v>800000</v>
      </c>
      <c r="O125" s="5"/>
    </row>
    <row r="126" spans="1:16" ht="60" x14ac:dyDescent="0.25">
      <c r="A126" s="6">
        <v>50</v>
      </c>
      <c r="B126" s="14" t="s">
        <v>199</v>
      </c>
      <c r="C126" s="13" t="s">
        <v>200</v>
      </c>
      <c r="D126" s="14"/>
      <c r="E126" s="14"/>
      <c r="F126" s="15">
        <f t="shared" ref="F126:L126" si="60">SUM(F127:F131)</f>
        <v>651767695</v>
      </c>
      <c r="G126" s="15">
        <f t="shared" si="60"/>
        <v>0</v>
      </c>
      <c r="H126" s="15">
        <f t="shared" si="60"/>
        <v>0</v>
      </c>
      <c r="I126" s="15">
        <f>SUM(I127:I131)</f>
        <v>0</v>
      </c>
      <c r="J126" s="15">
        <f t="shared" si="60"/>
        <v>0</v>
      </c>
      <c r="K126" s="15">
        <f>SUM(K127:K131)</f>
        <v>651767695</v>
      </c>
      <c r="L126" s="15">
        <f t="shared" si="60"/>
        <v>412140717.56999999</v>
      </c>
      <c r="M126" s="16">
        <f t="shared" si="39"/>
        <v>0.63234296626192865</v>
      </c>
      <c r="N126" s="15">
        <f>SUM(N127:N131)</f>
        <v>239626977.43000001</v>
      </c>
    </row>
    <row r="127" spans="1:16" ht="60" x14ac:dyDescent="0.25">
      <c r="A127" s="6">
        <v>51</v>
      </c>
      <c r="B127" s="1" t="s">
        <v>199</v>
      </c>
      <c r="C127" s="2" t="s">
        <v>234</v>
      </c>
      <c r="D127" s="1" t="s">
        <v>201</v>
      </c>
      <c r="E127" s="1" t="s">
        <v>235</v>
      </c>
      <c r="F127" s="3">
        <v>26623498</v>
      </c>
      <c r="G127" s="3">
        <v>0</v>
      </c>
      <c r="H127" s="3">
        <v>0</v>
      </c>
      <c r="I127" s="3">
        <v>0</v>
      </c>
      <c r="J127" s="3">
        <v>0</v>
      </c>
      <c r="K127" s="3">
        <f t="shared" ref="K127:K131" si="61">+F127+G127-H127+I127-J127</f>
        <v>26623498</v>
      </c>
      <c r="L127" s="29">
        <v>0</v>
      </c>
      <c r="M127" s="4">
        <f t="shared" si="39"/>
        <v>0</v>
      </c>
      <c r="N127" s="3">
        <f>+K127-L127</f>
        <v>26623498</v>
      </c>
    </row>
    <row r="128" spans="1:16" ht="60" x14ac:dyDescent="0.25">
      <c r="B128" s="1" t="s">
        <v>199</v>
      </c>
      <c r="C128" s="2" t="s">
        <v>234</v>
      </c>
      <c r="D128" s="1" t="s">
        <v>187</v>
      </c>
      <c r="E128" s="1" t="s">
        <v>236</v>
      </c>
      <c r="F128" s="3">
        <v>12700000</v>
      </c>
      <c r="G128" s="3">
        <v>0</v>
      </c>
      <c r="H128" s="3">
        <v>0</v>
      </c>
      <c r="I128" s="3">
        <v>0</v>
      </c>
      <c r="J128" s="3">
        <v>0</v>
      </c>
      <c r="K128" s="3">
        <f t="shared" si="61"/>
        <v>12700000</v>
      </c>
      <c r="L128" s="29">
        <v>0</v>
      </c>
      <c r="M128" s="4">
        <f t="shared" si="39"/>
        <v>0</v>
      </c>
      <c r="N128" s="3">
        <f>+K128-L128</f>
        <v>12700000</v>
      </c>
    </row>
    <row r="129" spans="1:15" ht="60" x14ac:dyDescent="0.25">
      <c r="A129" s="6">
        <v>52</v>
      </c>
      <c r="B129" s="1" t="s">
        <v>199</v>
      </c>
      <c r="C129" s="2" t="s">
        <v>234</v>
      </c>
      <c r="D129" s="1" t="s">
        <v>155</v>
      </c>
      <c r="E129" s="1" t="s">
        <v>218</v>
      </c>
      <c r="F129" s="3">
        <v>191966182</v>
      </c>
      <c r="G129" s="3">
        <v>0</v>
      </c>
      <c r="H129" s="3">
        <v>0</v>
      </c>
      <c r="I129" s="3">
        <v>0</v>
      </c>
      <c r="J129" s="3">
        <v>0</v>
      </c>
      <c r="K129" s="3">
        <f t="shared" si="61"/>
        <v>191966182</v>
      </c>
      <c r="L129" s="29">
        <v>65007607.57</v>
      </c>
      <c r="M129" s="4">
        <f t="shared" si="39"/>
        <v>0.33864093608946183</v>
      </c>
      <c r="N129" s="3">
        <f>+K129-L129</f>
        <v>126958574.43000001</v>
      </c>
    </row>
    <row r="130" spans="1:15" ht="60" x14ac:dyDescent="0.25">
      <c r="A130" s="6">
        <v>53</v>
      </c>
      <c r="B130" s="1" t="s">
        <v>199</v>
      </c>
      <c r="C130" s="2" t="s">
        <v>234</v>
      </c>
      <c r="D130" s="1" t="s">
        <v>181</v>
      </c>
      <c r="E130" s="1" t="s">
        <v>237</v>
      </c>
      <c r="F130" s="3">
        <v>45229000</v>
      </c>
      <c r="G130" s="3">
        <v>0</v>
      </c>
      <c r="H130" s="3">
        <v>0</v>
      </c>
      <c r="I130" s="3">
        <v>0</v>
      </c>
      <c r="J130" s="3">
        <v>0</v>
      </c>
      <c r="K130" s="3">
        <f t="shared" si="61"/>
        <v>45229000</v>
      </c>
      <c r="L130" s="29">
        <v>0</v>
      </c>
      <c r="M130" s="4">
        <f t="shared" si="39"/>
        <v>0</v>
      </c>
      <c r="N130" s="3">
        <f>+K130-L130</f>
        <v>45229000</v>
      </c>
    </row>
    <row r="131" spans="1:15" ht="60" x14ac:dyDescent="0.25">
      <c r="A131" s="6">
        <v>54</v>
      </c>
      <c r="B131" s="1" t="s">
        <v>199</v>
      </c>
      <c r="C131" s="2" t="s">
        <v>234</v>
      </c>
      <c r="D131" s="1" t="s">
        <v>159</v>
      </c>
      <c r="E131" s="1" t="s">
        <v>220</v>
      </c>
      <c r="F131" s="3">
        <v>375249015</v>
      </c>
      <c r="G131" s="3">
        <v>0</v>
      </c>
      <c r="H131" s="3">
        <v>0</v>
      </c>
      <c r="I131" s="3">
        <v>0</v>
      </c>
      <c r="J131" s="3">
        <v>0</v>
      </c>
      <c r="K131" s="3">
        <f t="shared" si="61"/>
        <v>375249015</v>
      </c>
      <c r="L131" s="29">
        <v>347133110</v>
      </c>
      <c r="M131" s="4">
        <f t="shared" si="39"/>
        <v>0.9250740071895992</v>
      </c>
      <c r="N131" s="3">
        <f>+K131-L131</f>
        <v>28115905</v>
      </c>
      <c r="O131" s="5"/>
    </row>
    <row r="132" spans="1:15" ht="30" x14ac:dyDescent="0.25">
      <c r="A132" s="6">
        <v>56</v>
      </c>
      <c r="B132" s="14" t="s">
        <v>205</v>
      </c>
      <c r="C132" s="13" t="s">
        <v>206</v>
      </c>
      <c r="D132" s="14"/>
      <c r="E132" s="14"/>
      <c r="F132" s="15">
        <f t="shared" ref="F132:L133" si="62">+F133</f>
        <v>0</v>
      </c>
      <c r="G132" s="15">
        <f t="shared" si="62"/>
        <v>0</v>
      </c>
      <c r="H132" s="15">
        <f t="shared" si="62"/>
        <v>0</v>
      </c>
      <c r="I132" s="15">
        <f t="shared" si="62"/>
        <v>1627935005.97</v>
      </c>
      <c r="J132" s="15">
        <f t="shared" si="62"/>
        <v>0</v>
      </c>
      <c r="K132" s="15">
        <f t="shared" si="62"/>
        <v>1627935005.97</v>
      </c>
      <c r="L132" s="15">
        <f t="shared" si="62"/>
        <v>1627935005.97</v>
      </c>
      <c r="M132" s="16">
        <v>0</v>
      </c>
      <c r="N132" s="15">
        <f t="shared" ref="N132:N133" si="63">+N133</f>
        <v>0</v>
      </c>
    </row>
    <row r="133" spans="1:15" ht="30" x14ac:dyDescent="0.25">
      <c r="A133" s="6">
        <v>57</v>
      </c>
      <c r="B133" s="14" t="s">
        <v>207</v>
      </c>
      <c r="C133" s="13" t="s">
        <v>206</v>
      </c>
      <c r="D133" s="14"/>
      <c r="E133" s="14"/>
      <c r="F133" s="15">
        <f t="shared" si="62"/>
        <v>0</v>
      </c>
      <c r="G133" s="15">
        <f t="shared" si="62"/>
        <v>0</v>
      </c>
      <c r="H133" s="15">
        <f t="shared" si="62"/>
        <v>0</v>
      </c>
      <c r="I133" s="15">
        <f t="shared" si="62"/>
        <v>1627935005.97</v>
      </c>
      <c r="J133" s="15">
        <f t="shared" si="62"/>
        <v>0</v>
      </c>
      <c r="K133" s="15">
        <f t="shared" si="62"/>
        <v>1627935005.97</v>
      </c>
      <c r="L133" s="15">
        <f t="shared" si="62"/>
        <v>1627935005.97</v>
      </c>
      <c r="M133" s="16">
        <v>0</v>
      </c>
      <c r="N133" s="15">
        <f t="shared" si="63"/>
        <v>0</v>
      </c>
    </row>
    <row r="134" spans="1:15" ht="30" x14ac:dyDescent="0.25">
      <c r="A134" s="6">
        <v>58</v>
      </c>
      <c r="B134" s="1" t="s">
        <v>208</v>
      </c>
      <c r="C134" s="2" t="s">
        <v>209</v>
      </c>
      <c r="D134" s="1" t="s">
        <v>26</v>
      </c>
      <c r="E134" s="1" t="s">
        <v>27</v>
      </c>
      <c r="F134" s="3">
        <v>0</v>
      </c>
      <c r="G134" s="3">
        <v>0</v>
      </c>
      <c r="H134" s="3">
        <v>0</v>
      </c>
      <c r="I134" s="3">
        <v>1627935005.97</v>
      </c>
      <c r="J134" s="3">
        <v>0</v>
      </c>
      <c r="K134" s="3">
        <f>+F134+G134-H134+I134-J134</f>
        <v>1627935005.97</v>
      </c>
      <c r="L134" s="3">
        <v>1627935005.97</v>
      </c>
      <c r="M134" s="4">
        <v>0</v>
      </c>
      <c r="N134" s="3">
        <f>+K134-L134</f>
        <v>0</v>
      </c>
    </row>
    <row r="136" spans="1:15" ht="18.75" x14ac:dyDescent="0.25">
      <c r="B136" s="135" t="s">
        <v>238</v>
      </c>
      <c r="C136" s="135"/>
      <c r="D136" s="135"/>
      <c r="E136" s="135"/>
      <c r="F136" s="135"/>
      <c r="G136" s="135"/>
      <c r="H136" s="135"/>
      <c r="I136" s="135"/>
      <c r="J136" s="135"/>
      <c r="K136" s="135"/>
      <c r="L136" s="135"/>
      <c r="M136" s="135"/>
      <c r="N136" s="135"/>
    </row>
    <row r="137" spans="1:15" ht="60" x14ac:dyDescent="0.25">
      <c r="B137" s="22" t="s">
        <v>0</v>
      </c>
      <c r="C137" s="22" t="s">
        <v>1</v>
      </c>
      <c r="D137" s="22" t="s">
        <v>2</v>
      </c>
      <c r="E137" s="22" t="s">
        <v>3</v>
      </c>
      <c r="F137" s="23" t="s">
        <v>4</v>
      </c>
      <c r="G137" s="23" t="s">
        <v>5</v>
      </c>
      <c r="H137" s="23" t="s">
        <v>6</v>
      </c>
      <c r="I137" s="23" t="s">
        <v>7</v>
      </c>
      <c r="J137" s="23" t="s">
        <v>8</v>
      </c>
      <c r="K137" s="23" t="s">
        <v>9</v>
      </c>
      <c r="L137" s="23" t="s">
        <v>10</v>
      </c>
      <c r="M137" s="24" t="s">
        <v>11</v>
      </c>
      <c r="N137" s="23" t="s">
        <v>12</v>
      </c>
    </row>
    <row r="138" spans="1:15" ht="30" x14ac:dyDescent="0.25">
      <c r="A138" s="6">
        <v>39</v>
      </c>
      <c r="B138" s="1" t="s">
        <v>87</v>
      </c>
      <c r="C138" s="2" t="s">
        <v>239</v>
      </c>
      <c r="D138" s="1" t="s">
        <v>210</v>
      </c>
      <c r="E138" s="1" t="s">
        <v>240</v>
      </c>
      <c r="F138" s="3">
        <v>0</v>
      </c>
      <c r="G138" s="3">
        <v>0</v>
      </c>
      <c r="H138" s="3">
        <v>0</v>
      </c>
      <c r="I138" s="3">
        <v>1567046</v>
      </c>
      <c r="J138" s="3">
        <v>0</v>
      </c>
      <c r="K138" s="3">
        <f>+F138+G138+I138-H138-J138</f>
        <v>1567046</v>
      </c>
      <c r="L138" s="3">
        <v>1567046</v>
      </c>
      <c r="M138" s="4">
        <f t="shared" ref="M138:M163" si="64">+L138/K138</f>
        <v>1</v>
      </c>
      <c r="N138" s="3">
        <f>+K138-L138</f>
        <v>0</v>
      </c>
    </row>
    <row r="139" spans="1:15" x14ac:dyDescent="0.25">
      <c r="A139" s="6">
        <v>50</v>
      </c>
      <c r="B139" s="1" t="s">
        <v>109</v>
      </c>
      <c r="C139" s="2" t="s">
        <v>110</v>
      </c>
      <c r="D139" s="1" t="s">
        <v>210</v>
      </c>
      <c r="E139" s="1" t="s">
        <v>240</v>
      </c>
      <c r="F139" s="3">
        <v>0</v>
      </c>
      <c r="G139" s="3">
        <v>0</v>
      </c>
      <c r="H139" s="3">
        <v>0</v>
      </c>
      <c r="I139" s="3">
        <v>2040000</v>
      </c>
      <c r="J139" s="3">
        <v>0</v>
      </c>
      <c r="K139" s="3">
        <f t="shared" ref="K139:K161" si="65">+F139+G139+I139-H139-J139</f>
        <v>2040000</v>
      </c>
      <c r="L139" s="3">
        <v>2040000</v>
      </c>
      <c r="M139" s="4">
        <f t="shared" si="64"/>
        <v>1</v>
      </c>
      <c r="N139" s="3">
        <f t="shared" ref="N139:N161" si="66">+K139-L139</f>
        <v>0</v>
      </c>
    </row>
    <row r="140" spans="1:15" x14ac:dyDescent="0.25">
      <c r="A140" s="6">
        <v>18</v>
      </c>
      <c r="B140" s="1" t="s">
        <v>115</v>
      </c>
      <c r="C140" s="2" t="s">
        <v>116</v>
      </c>
      <c r="D140" s="1" t="s">
        <v>210</v>
      </c>
      <c r="E140" s="1" t="s">
        <v>240</v>
      </c>
      <c r="F140" s="3">
        <v>0</v>
      </c>
      <c r="G140" s="3">
        <v>0</v>
      </c>
      <c r="H140" s="3">
        <v>0</v>
      </c>
      <c r="I140" s="3">
        <v>975992</v>
      </c>
      <c r="J140" s="3">
        <v>0</v>
      </c>
      <c r="K140" s="3">
        <f t="shared" si="65"/>
        <v>975992</v>
      </c>
      <c r="L140" s="3">
        <v>975992</v>
      </c>
      <c r="M140" s="4">
        <f t="shared" si="64"/>
        <v>1</v>
      </c>
      <c r="N140" s="3">
        <f t="shared" si="66"/>
        <v>0</v>
      </c>
    </row>
    <row r="141" spans="1:15" ht="60" x14ac:dyDescent="0.25">
      <c r="A141" s="6">
        <v>31</v>
      </c>
      <c r="B141" s="1" t="s">
        <v>154</v>
      </c>
      <c r="C141" s="2" t="s">
        <v>153</v>
      </c>
      <c r="D141" s="1" t="s">
        <v>241</v>
      </c>
      <c r="E141" s="1" t="s">
        <v>242</v>
      </c>
      <c r="F141" s="3">
        <v>0</v>
      </c>
      <c r="G141" s="3">
        <v>0</v>
      </c>
      <c r="H141" s="3">
        <v>0</v>
      </c>
      <c r="I141" s="3">
        <v>166533778.34</v>
      </c>
      <c r="J141" s="3">
        <v>0</v>
      </c>
      <c r="K141" s="3">
        <f t="shared" si="65"/>
        <v>166533778.34</v>
      </c>
      <c r="L141" s="3">
        <v>166533778.34</v>
      </c>
      <c r="M141" s="4">
        <f t="shared" si="64"/>
        <v>1</v>
      </c>
      <c r="N141" s="3">
        <f t="shared" si="66"/>
        <v>0</v>
      </c>
    </row>
    <row r="142" spans="1:15" ht="60" x14ac:dyDescent="0.25">
      <c r="A142" s="6">
        <v>8</v>
      </c>
      <c r="B142" s="1" t="s">
        <v>156</v>
      </c>
      <c r="C142" s="2" t="s">
        <v>153</v>
      </c>
      <c r="D142" s="1" t="s">
        <v>211</v>
      </c>
      <c r="E142" s="1" t="s">
        <v>243</v>
      </c>
      <c r="F142" s="3">
        <v>0</v>
      </c>
      <c r="G142" s="3">
        <v>0</v>
      </c>
      <c r="H142" s="3">
        <v>0</v>
      </c>
      <c r="I142" s="3">
        <v>27748404.059999999</v>
      </c>
      <c r="J142" s="3">
        <v>0</v>
      </c>
      <c r="K142" s="3">
        <f t="shared" si="65"/>
        <v>27748404.059999999</v>
      </c>
      <c r="L142" s="3">
        <v>27748404.059999999</v>
      </c>
      <c r="M142" s="4">
        <f t="shared" si="64"/>
        <v>1</v>
      </c>
      <c r="N142" s="3">
        <f t="shared" si="66"/>
        <v>0</v>
      </c>
    </row>
    <row r="143" spans="1:15" ht="60" x14ac:dyDescent="0.25">
      <c r="A143" s="6">
        <v>14</v>
      </c>
      <c r="B143" s="1" t="s">
        <v>158</v>
      </c>
      <c r="C143" s="2" t="s">
        <v>153</v>
      </c>
      <c r="D143" s="1" t="s">
        <v>212</v>
      </c>
      <c r="E143" s="1" t="s">
        <v>244</v>
      </c>
      <c r="F143" s="3">
        <v>0</v>
      </c>
      <c r="G143" s="3">
        <v>0</v>
      </c>
      <c r="H143" s="3">
        <v>0</v>
      </c>
      <c r="I143" s="3">
        <v>277946142</v>
      </c>
      <c r="J143" s="3">
        <v>0</v>
      </c>
      <c r="K143" s="3">
        <f t="shared" si="65"/>
        <v>277946142</v>
      </c>
      <c r="L143" s="3">
        <v>277946142</v>
      </c>
      <c r="M143" s="4">
        <f t="shared" si="64"/>
        <v>1</v>
      </c>
      <c r="N143" s="3">
        <f t="shared" si="66"/>
        <v>0</v>
      </c>
    </row>
    <row r="144" spans="1:15" ht="30" x14ac:dyDescent="0.25">
      <c r="A144" s="6">
        <v>23</v>
      </c>
      <c r="B144" s="1" t="s">
        <v>162</v>
      </c>
      <c r="C144" s="2" t="s">
        <v>161</v>
      </c>
      <c r="D144" s="1" t="s">
        <v>241</v>
      </c>
      <c r="E144" s="1" t="s">
        <v>242</v>
      </c>
      <c r="F144" s="3">
        <v>0</v>
      </c>
      <c r="G144" s="3">
        <v>0</v>
      </c>
      <c r="H144" s="3">
        <v>0</v>
      </c>
      <c r="I144" s="3">
        <v>240265349</v>
      </c>
      <c r="J144" s="3">
        <v>0</v>
      </c>
      <c r="K144" s="3">
        <f t="shared" si="65"/>
        <v>240265349</v>
      </c>
      <c r="L144" s="3">
        <v>240265349</v>
      </c>
      <c r="M144" s="4">
        <f t="shared" si="64"/>
        <v>1</v>
      </c>
      <c r="N144" s="3">
        <f t="shared" si="66"/>
        <v>0</v>
      </c>
    </row>
    <row r="145" spans="1:14" ht="30" x14ac:dyDescent="0.25">
      <c r="A145" s="6">
        <v>32</v>
      </c>
      <c r="B145" s="1" t="s">
        <v>163</v>
      </c>
      <c r="C145" s="2" t="s">
        <v>164</v>
      </c>
      <c r="D145" s="1" t="s">
        <v>212</v>
      </c>
      <c r="E145" s="1" t="s">
        <v>244</v>
      </c>
      <c r="F145" s="3">
        <v>0</v>
      </c>
      <c r="G145" s="3">
        <v>0</v>
      </c>
      <c r="H145" s="3">
        <v>0</v>
      </c>
      <c r="I145" s="3">
        <v>3443312</v>
      </c>
      <c r="J145" s="3">
        <v>0</v>
      </c>
      <c r="K145" s="3">
        <f t="shared" si="65"/>
        <v>3443312</v>
      </c>
      <c r="L145" s="3">
        <v>3443312</v>
      </c>
      <c r="M145" s="4">
        <f t="shared" si="64"/>
        <v>1</v>
      </c>
      <c r="N145" s="3">
        <f t="shared" si="66"/>
        <v>0</v>
      </c>
    </row>
    <row r="146" spans="1:14" ht="45" x14ac:dyDescent="0.25">
      <c r="A146" s="6">
        <v>46</v>
      </c>
      <c r="B146" s="1" t="s">
        <v>165</v>
      </c>
      <c r="C146" s="2" t="s">
        <v>166</v>
      </c>
      <c r="D146" s="1" t="s">
        <v>245</v>
      </c>
      <c r="E146" s="1" t="s">
        <v>246</v>
      </c>
      <c r="F146" s="3">
        <v>0</v>
      </c>
      <c r="G146" s="3">
        <v>0</v>
      </c>
      <c r="H146" s="3">
        <v>0</v>
      </c>
      <c r="I146" s="3">
        <v>92772606</v>
      </c>
      <c r="J146" s="3">
        <v>0</v>
      </c>
      <c r="K146" s="3">
        <f t="shared" si="65"/>
        <v>92772606</v>
      </c>
      <c r="L146" s="3">
        <v>92772606</v>
      </c>
      <c r="M146" s="4">
        <f t="shared" si="64"/>
        <v>1</v>
      </c>
      <c r="N146" s="3">
        <f t="shared" si="66"/>
        <v>0</v>
      </c>
    </row>
    <row r="147" spans="1:14" ht="45" x14ac:dyDescent="0.25">
      <c r="A147" s="6">
        <v>10</v>
      </c>
      <c r="B147" s="1" t="s">
        <v>169</v>
      </c>
      <c r="C147" s="2" t="s">
        <v>168</v>
      </c>
      <c r="D147" s="1" t="s">
        <v>241</v>
      </c>
      <c r="E147" s="1" t="s">
        <v>242</v>
      </c>
      <c r="F147" s="3">
        <v>0</v>
      </c>
      <c r="G147" s="3">
        <v>0</v>
      </c>
      <c r="H147" s="3">
        <v>0</v>
      </c>
      <c r="I147" s="3">
        <v>89080827.189999998</v>
      </c>
      <c r="J147" s="3">
        <v>0</v>
      </c>
      <c r="K147" s="3">
        <f t="shared" si="65"/>
        <v>89080827.189999998</v>
      </c>
      <c r="L147" s="3">
        <v>89080827.189999998</v>
      </c>
      <c r="M147" s="4">
        <f t="shared" si="64"/>
        <v>1</v>
      </c>
      <c r="N147" s="3">
        <f t="shared" si="66"/>
        <v>0</v>
      </c>
    </row>
    <row r="148" spans="1:14" ht="45" x14ac:dyDescent="0.25">
      <c r="A148" s="6">
        <v>16</v>
      </c>
      <c r="B148" s="1" t="s">
        <v>170</v>
      </c>
      <c r="C148" s="2" t="s">
        <v>168</v>
      </c>
      <c r="D148" s="1" t="s">
        <v>211</v>
      </c>
      <c r="E148" s="1" t="s">
        <v>243</v>
      </c>
      <c r="F148" s="3">
        <v>0</v>
      </c>
      <c r="G148" s="3">
        <v>0</v>
      </c>
      <c r="H148" s="3">
        <v>0</v>
      </c>
      <c r="I148" s="3">
        <v>4816216</v>
      </c>
      <c r="J148" s="3">
        <v>0</v>
      </c>
      <c r="K148" s="3">
        <f t="shared" si="65"/>
        <v>4816216</v>
      </c>
      <c r="L148" s="3">
        <v>4816216</v>
      </c>
      <c r="M148" s="4">
        <f t="shared" si="64"/>
        <v>1</v>
      </c>
      <c r="N148" s="3">
        <f t="shared" si="66"/>
        <v>0</v>
      </c>
    </row>
    <row r="149" spans="1:14" ht="45" x14ac:dyDescent="0.25">
      <c r="A149" s="6">
        <v>26</v>
      </c>
      <c r="B149" s="1" t="s">
        <v>171</v>
      </c>
      <c r="C149" s="2" t="s">
        <v>168</v>
      </c>
      <c r="D149" s="1" t="s">
        <v>212</v>
      </c>
      <c r="E149" s="1" t="s">
        <v>244</v>
      </c>
      <c r="F149" s="3">
        <v>0</v>
      </c>
      <c r="G149" s="3">
        <v>0</v>
      </c>
      <c r="H149" s="3">
        <v>0</v>
      </c>
      <c r="I149" s="3">
        <v>5010450</v>
      </c>
      <c r="J149" s="3">
        <v>0</v>
      </c>
      <c r="K149" s="3">
        <f t="shared" si="65"/>
        <v>5010450</v>
      </c>
      <c r="L149" s="3">
        <v>5010450</v>
      </c>
      <c r="M149" s="4">
        <f t="shared" si="64"/>
        <v>1</v>
      </c>
      <c r="N149" s="3">
        <f t="shared" si="66"/>
        <v>0</v>
      </c>
    </row>
    <row r="150" spans="1:14" ht="60" x14ac:dyDescent="0.25">
      <c r="A150" s="6">
        <v>34</v>
      </c>
      <c r="B150" s="1" t="s">
        <v>174</v>
      </c>
      <c r="C150" s="2" t="s">
        <v>175</v>
      </c>
      <c r="D150" s="1" t="s">
        <v>211</v>
      </c>
      <c r="E150" s="1" t="s">
        <v>243</v>
      </c>
      <c r="F150" s="3">
        <v>0</v>
      </c>
      <c r="G150" s="3">
        <v>0</v>
      </c>
      <c r="H150" s="3">
        <v>0</v>
      </c>
      <c r="I150" s="3">
        <v>45154614.520000003</v>
      </c>
      <c r="J150" s="3">
        <v>0</v>
      </c>
      <c r="K150" s="3">
        <f t="shared" si="65"/>
        <v>45154614.520000003</v>
      </c>
      <c r="L150" s="3">
        <v>45154614.520000003</v>
      </c>
      <c r="M150" s="4">
        <f t="shared" si="64"/>
        <v>1</v>
      </c>
      <c r="N150" s="3">
        <f t="shared" si="66"/>
        <v>0</v>
      </c>
    </row>
    <row r="151" spans="1:14" ht="45" x14ac:dyDescent="0.25">
      <c r="A151" s="6">
        <v>41</v>
      </c>
      <c r="B151" s="1" t="s">
        <v>176</v>
      </c>
      <c r="C151" s="2" t="s">
        <v>173</v>
      </c>
      <c r="D151" s="1" t="s">
        <v>212</v>
      </c>
      <c r="E151" s="1" t="s">
        <v>244</v>
      </c>
      <c r="F151" s="3">
        <v>0</v>
      </c>
      <c r="G151" s="3">
        <v>0</v>
      </c>
      <c r="H151" s="3">
        <v>0</v>
      </c>
      <c r="I151" s="3">
        <v>900000</v>
      </c>
      <c r="J151" s="3">
        <v>0</v>
      </c>
      <c r="K151" s="3">
        <f t="shared" si="65"/>
        <v>900000</v>
      </c>
      <c r="L151" s="3">
        <v>900000</v>
      </c>
      <c r="M151" s="4">
        <f t="shared" si="64"/>
        <v>1</v>
      </c>
      <c r="N151" s="3">
        <f t="shared" si="66"/>
        <v>0</v>
      </c>
    </row>
    <row r="152" spans="1:14" ht="60" x14ac:dyDescent="0.25">
      <c r="A152" s="6">
        <v>48</v>
      </c>
      <c r="B152" s="1" t="s">
        <v>179</v>
      </c>
      <c r="C152" s="2" t="s">
        <v>180</v>
      </c>
      <c r="D152" s="1" t="s">
        <v>211</v>
      </c>
      <c r="E152" s="1" t="s">
        <v>243</v>
      </c>
      <c r="F152" s="3">
        <v>0</v>
      </c>
      <c r="G152" s="3">
        <v>0</v>
      </c>
      <c r="H152" s="3">
        <v>0</v>
      </c>
      <c r="I152" s="3">
        <v>160010954</v>
      </c>
      <c r="J152" s="3">
        <v>0</v>
      </c>
      <c r="K152" s="3">
        <f t="shared" si="65"/>
        <v>160010954</v>
      </c>
      <c r="L152" s="3">
        <v>160010954</v>
      </c>
      <c r="M152" s="4">
        <f t="shared" si="64"/>
        <v>1</v>
      </c>
      <c r="N152" s="3">
        <f t="shared" si="66"/>
        <v>0</v>
      </c>
    </row>
    <row r="153" spans="1:14" ht="60" x14ac:dyDescent="0.25">
      <c r="A153" s="6">
        <v>55</v>
      </c>
      <c r="B153" s="1" t="s">
        <v>182</v>
      </c>
      <c r="C153" s="2" t="s">
        <v>183</v>
      </c>
      <c r="D153" s="1" t="s">
        <v>212</v>
      </c>
      <c r="E153" s="1" t="s">
        <v>244</v>
      </c>
      <c r="F153" s="3">
        <v>0</v>
      </c>
      <c r="G153" s="3">
        <v>0</v>
      </c>
      <c r="H153" s="3">
        <v>0</v>
      </c>
      <c r="I153" s="3">
        <v>258290658.84999999</v>
      </c>
      <c r="J153" s="3">
        <v>0</v>
      </c>
      <c r="K153" s="3">
        <f t="shared" si="65"/>
        <v>258290658.84999999</v>
      </c>
      <c r="L153" s="3">
        <v>258290658.84999999</v>
      </c>
      <c r="M153" s="4">
        <f t="shared" si="64"/>
        <v>1</v>
      </c>
      <c r="N153" s="3">
        <f t="shared" si="66"/>
        <v>0</v>
      </c>
    </row>
    <row r="154" spans="1:14" ht="45" x14ac:dyDescent="0.25">
      <c r="B154" s="1" t="s">
        <v>188</v>
      </c>
      <c r="C154" s="2" t="s">
        <v>186</v>
      </c>
      <c r="D154" s="1" t="s">
        <v>241</v>
      </c>
      <c r="E154" s="1" t="s">
        <v>242</v>
      </c>
      <c r="F154" s="3">
        <v>0</v>
      </c>
      <c r="G154" s="3">
        <v>0</v>
      </c>
      <c r="H154" s="3">
        <v>0</v>
      </c>
      <c r="I154" s="3">
        <v>150757594.13999999</v>
      </c>
      <c r="J154" s="3">
        <v>0</v>
      </c>
      <c r="K154" s="3">
        <f t="shared" si="65"/>
        <v>150757594.13999999</v>
      </c>
      <c r="L154" s="3">
        <v>150757594.13999999</v>
      </c>
      <c r="M154" s="4">
        <f t="shared" si="64"/>
        <v>1</v>
      </c>
      <c r="N154" s="3">
        <f t="shared" si="66"/>
        <v>0</v>
      </c>
    </row>
    <row r="155" spans="1:14" ht="45" x14ac:dyDescent="0.25">
      <c r="B155" s="1" t="s">
        <v>189</v>
      </c>
      <c r="C155" s="2" t="s">
        <v>186</v>
      </c>
      <c r="D155" s="1" t="s">
        <v>211</v>
      </c>
      <c r="E155" s="1" t="s">
        <v>243</v>
      </c>
      <c r="F155" s="3">
        <v>0</v>
      </c>
      <c r="G155" s="3">
        <v>0</v>
      </c>
      <c r="H155" s="3">
        <v>0</v>
      </c>
      <c r="I155" s="3">
        <v>9588000</v>
      </c>
      <c r="J155" s="3">
        <v>0</v>
      </c>
      <c r="K155" s="3">
        <f t="shared" si="65"/>
        <v>9588000</v>
      </c>
      <c r="L155" s="3">
        <v>9588000</v>
      </c>
      <c r="M155" s="4">
        <f t="shared" si="64"/>
        <v>1</v>
      </c>
      <c r="N155" s="3">
        <f t="shared" si="66"/>
        <v>0</v>
      </c>
    </row>
    <row r="156" spans="1:14" ht="45" x14ac:dyDescent="0.25">
      <c r="B156" s="1" t="s">
        <v>190</v>
      </c>
      <c r="C156" s="2" t="s">
        <v>186</v>
      </c>
      <c r="D156" s="1" t="s">
        <v>212</v>
      </c>
      <c r="E156" s="1" t="s">
        <v>244</v>
      </c>
      <c r="F156" s="3">
        <v>0</v>
      </c>
      <c r="G156" s="3">
        <v>0</v>
      </c>
      <c r="H156" s="3">
        <v>0</v>
      </c>
      <c r="I156" s="3">
        <v>9860000</v>
      </c>
      <c r="J156" s="3">
        <v>0</v>
      </c>
      <c r="K156" s="3">
        <f t="shared" si="65"/>
        <v>9860000</v>
      </c>
      <c r="L156" s="3">
        <v>9860000</v>
      </c>
      <c r="M156" s="4">
        <f t="shared" si="64"/>
        <v>1</v>
      </c>
      <c r="N156" s="3">
        <f t="shared" si="66"/>
        <v>0</v>
      </c>
    </row>
    <row r="157" spans="1:14" ht="60" x14ac:dyDescent="0.25">
      <c r="B157" s="1" t="s">
        <v>195</v>
      </c>
      <c r="C157" s="2" t="s">
        <v>196</v>
      </c>
      <c r="D157" s="1" t="s">
        <v>211</v>
      </c>
      <c r="E157" s="1" t="s">
        <v>243</v>
      </c>
      <c r="F157" s="3">
        <v>0</v>
      </c>
      <c r="G157" s="3">
        <v>0</v>
      </c>
      <c r="H157" s="3">
        <v>0</v>
      </c>
      <c r="I157" s="3">
        <v>111796279</v>
      </c>
      <c r="J157" s="3">
        <v>0</v>
      </c>
      <c r="K157" s="3">
        <f t="shared" si="65"/>
        <v>111796279</v>
      </c>
      <c r="L157" s="3">
        <v>111796279</v>
      </c>
      <c r="M157" s="4">
        <f t="shared" si="64"/>
        <v>1</v>
      </c>
      <c r="N157" s="3">
        <f t="shared" si="66"/>
        <v>0</v>
      </c>
    </row>
    <row r="158" spans="1:14" ht="60" x14ac:dyDescent="0.25">
      <c r="B158" s="1" t="s">
        <v>197</v>
      </c>
      <c r="C158" s="2" t="s">
        <v>194</v>
      </c>
      <c r="D158" s="1" t="s">
        <v>241</v>
      </c>
      <c r="E158" s="1" t="s">
        <v>242</v>
      </c>
      <c r="F158" s="3">
        <v>0</v>
      </c>
      <c r="G158" s="3">
        <v>0</v>
      </c>
      <c r="H158" s="3">
        <v>0</v>
      </c>
      <c r="I158" s="3">
        <v>163204188.59</v>
      </c>
      <c r="J158" s="3">
        <v>0</v>
      </c>
      <c r="K158" s="3">
        <f t="shared" si="65"/>
        <v>163204188.59</v>
      </c>
      <c r="L158" s="3">
        <v>163204188.59</v>
      </c>
      <c r="M158" s="4">
        <f t="shared" si="64"/>
        <v>1</v>
      </c>
      <c r="N158" s="3">
        <f t="shared" si="66"/>
        <v>0</v>
      </c>
    </row>
    <row r="159" spans="1:14" ht="60" x14ac:dyDescent="0.25">
      <c r="B159" s="1" t="s">
        <v>198</v>
      </c>
      <c r="C159" s="2" t="s">
        <v>194</v>
      </c>
      <c r="D159" s="1" t="s">
        <v>212</v>
      </c>
      <c r="E159" s="1" t="s">
        <v>244</v>
      </c>
      <c r="F159" s="3">
        <v>0</v>
      </c>
      <c r="G159" s="3">
        <v>0</v>
      </c>
      <c r="H159" s="3">
        <v>0</v>
      </c>
      <c r="I159" s="3">
        <v>103513000</v>
      </c>
      <c r="J159" s="3">
        <v>0</v>
      </c>
      <c r="K159" s="3">
        <f t="shared" si="65"/>
        <v>103513000</v>
      </c>
      <c r="L159" s="3">
        <v>103513000</v>
      </c>
      <c r="M159" s="4">
        <f t="shared" si="64"/>
        <v>1</v>
      </c>
      <c r="N159" s="3">
        <f t="shared" si="66"/>
        <v>0</v>
      </c>
    </row>
    <row r="160" spans="1:14" ht="60" x14ac:dyDescent="0.25">
      <c r="B160" s="1" t="s">
        <v>202</v>
      </c>
      <c r="C160" s="2" t="s">
        <v>200</v>
      </c>
      <c r="D160" s="1" t="s">
        <v>241</v>
      </c>
      <c r="E160" s="1" t="s">
        <v>242</v>
      </c>
      <c r="F160" s="3">
        <v>0</v>
      </c>
      <c r="G160" s="3">
        <v>0</v>
      </c>
      <c r="H160" s="3">
        <v>0</v>
      </c>
      <c r="I160" s="3">
        <v>98755184.400000006</v>
      </c>
      <c r="J160" s="3">
        <v>0</v>
      </c>
      <c r="K160" s="3">
        <f t="shared" si="65"/>
        <v>98755184.400000006</v>
      </c>
      <c r="L160" s="3">
        <v>98755184.400000006</v>
      </c>
      <c r="M160" s="4">
        <f t="shared" si="64"/>
        <v>1</v>
      </c>
      <c r="N160" s="3">
        <f t="shared" si="66"/>
        <v>0</v>
      </c>
    </row>
    <row r="161" spans="2:14" ht="60" x14ac:dyDescent="0.25">
      <c r="B161" s="1" t="s">
        <v>203</v>
      </c>
      <c r="C161" s="2" t="s">
        <v>204</v>
      </c>
      <c r="D161" s="1" t="s">
        <v>212</v>
      </c>
      <c r="E161" s="1" t="s">
        <v>244</v>
      </c>
      <c r="F161" s="3">
        <v>0</v>
      </c>
      <c r="G161" s="3">
        <v>0</v>
      </c>
      <c r="H161" s="3">
        <v>0</v>
      </c>
      <c r="I161" s="3">
        <v>2034149</v>
      </c>
      <c r="J161" s="3">
        <v>0</v>
      </c>
      <c r="K161" s="3">
        <f t="shared" si="65"/>
        <v>2034149</v>
      </c>
      <c r="L161" s="3">
        <v>2034149</v>
      </c>
      <c r="M161" s="4">
        <f t="shared" si="64"/>
        <v>1</v>
      </c>
      <c r="N161" s="3">
        <f t="shared" si="66"/>
        <v>0</v>
      </c>
    </row>
    <row r="162" spans="2:14" x14ac:dyDescent="0.25">
      <c r="B162" s="1"/>
      <c r="C162" s="2"/>
      <c r="D162" s="1"/>
      <c r="E162" s="1"/>
      <c r="F162" s="3"/>
      <c r="G162" s="3"/>
      <c r="H162" s="3"/>
      <c r="I162" s="3"/>
      <c r="J162" s="3"/>
      <c r="K162" s="3"/>
      <c r="L162" s="3"/>
      <c r="M162" s="4"/>
      <c r="N162" s="3"/>
    </row>
    <row r="163" spans="2:14" x14ac:dyDescent="0.25">
      <c r="B163" s="136" t="s">
        <v>213</v>
      </c>
      <c r="C163" s="136"/>
      <c r="D163" s="136"/>
      <c r="E163" s="136"/>
      <c r="F163" s="3">
        <f>SUM(F138:F153)</f>
        <v>0</v>
      </c>
      <c r="G163" s="15">
        <f t="shared" ref="G163:N163" si="67">SUM(G138:G153)</f>
        <v>0</v>
      </c>
      <c r="H163" s="15">
        <f t="shared" si="67"/>
        <v>0</v>
      </c>
      <c r="I163" s="15">
        <f>SUM(I138:I161)</f>
        <v>2026064745.0899999</v>
      </c>
      <c r="J163" s="15">
        <f t="shared" si="67"/>
        <v>0</v>
      </c>
      <c r="K163" s="15">
        <f>SUM(K138:K161)</f>
        <v>2026064745.0899999</v>
      </c>
      <c r="L163" s="15">
        <f>SUM(L138:L161)</f>
        <v>2026064745.0899999</v>
      </c>
      <c r="M163" s="4">
        <f t="shared" si="64"/>
        <v>1</v>
      </c>
      <c r="N163" s="15">
        <f t="shared" si="67"/>
        <v>0</v>
      </c>
    </row>
    <row r="164" spans="2:14" x14ac:dyDescent="0.25">
      <c r="L164" s="5">
        <f>SUBTOTAL(9,L88:L121)</f>
        <v>34168771911.959995</v>
      </c>
    </row>
    <row r="166" spans="2:14" x14ac:dyDescent="0.25">
      <c r="B166" s="137" t="s">
        <v>214</v>
      </c>
      <c r="C166" s="138"/>
      <c r="D166" s="139"/>
      <c r="E166" s="26"/>
      <c r="F166" s="15">
        <f>+F163+F3</f>
        <v>27469952847</v>
      </c>
      <c r="G166" s="15">
        <f t="shared" ref="G166:N166" si="68">+G163+G3</f>
        <v>523938127.27999997</v>
      </c>
      <c r="H166" s="15">
        <f t="shared" si="68"/>
        <v>523938127.27999997</v>
      </c>
      <c r="I166" s="15">
        <f t="shared" si="68"/>
        <v>23513752677.460003</v>
      </c>
      <c r="J166" s="15">
        <f t="shared" si="68"/>
        <v>0</v>
      </c>
      <c r="K166" s="15">
        <f t="shared" si="68"/>
        <v>50983705524.459999</v>
      </c>
      <c r="L166" s="15">
        <f t="shared" si="68"/>
        <v>40776473603.98999</v>
      </c>
      <c r="M166" s="16">
        <f>+L166/K166</f>
        <v>0.79979423199098432</v>
      </c>
      <c r="N166" s="15">
        <f t="shared" si="68"/>
        <v>10207231920.469999</v>
      </c>
    </row>
    <row r="169" spans="2:14" x14ac:dyDescent="0.25">
      <c r="B169" s="6" t="s">
        <v>215</v>
      </c>
    </row>
    <row r="171" spans="2:14" x14ac:dyDescent="0.25">
      <c r="B171" s="6" t="s">
        <v>216</v>
      </c>
    </row>
  </sheetData>
  <sheetProtection algorithmName="SHA-512" hashValue="8jfHSDz1gZaXZlvafFlqrsDN6wv078rxav2V9iz4HrnUVld9mThmQpZagcaso+kHpG2+4p5059tZlQCjuUDo8w==" saltValue="etihwoQMvtiXoTfluh2d7w==" spinCount="100000" sheet="1" objects="1" scenarios="1"/>
  <autoFilter ref="B2:N163" xr:uid="{00000000-0009-0000-0000-000000000000}"/>
  <sortState ref="A72:N114">
    <sortCondition ref="B72:B114"/>
  </sortState>
  <mergeCells count="4">
    <mergeCell ref="B136:N136"/>
    <mergeCell ref="B163:E163"/>
    <mergeCell ref="B166:D166"/>
    <mergeCell ref="B1:N1"/>
  </mergeCells>
  <pageMargins left="0.31496062992125984" right="0" top="0.15748031496062992" bottom="0" header="0.11811023622047245" footer="0.31496062992125984"/>
  <pageSetup paperSize="7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3" sqref="A13"/>
    </sheetView>
  </sheetViews>
  <sheetFormatPr baseColWidth="10" defaultColWidth="11.42578125" defaultRowHeight="15" x14ac:dyDescent="0.25"/>
  <cols>
    <col min="1" max="1" width="59.28515625" customWidth="1"/>
    <col min="2" max="2" width="13.85546875" bestFit="1" customWidth="1"/>
    <col min="3" max="3" width="16.42578125" bestFit="1" customWidth="1"/>
    <col min="4" max="4" width="0" hidden="1" customWidth="1"/>
    <col min="5" max="5" width="13" hidden="1" customWidth="1"/>
    <col min="6" max="7" width="0" hidden="1" customWidth="1"/>
    <col min="8" max="8" width="16.42578125" bestFit="1" customWidth="1"/>
    <col min="9" max="9" width="15.5703125" bestFit="1" customWidth="1"/>
    <col min="10" max="11" width="13" bestFit="1" customWidth="1"/>
    <col min="12" max="12" width="14.85546875" customWidth="1"/>
    <col min="13" max="13" width="13" customWidth="1"/>
    <col min="14" max="14" width="13.7109375" bestFit="1" customWidth="1"/>
    <col min="15" max="15" width="13" customWidth="1"/>
    <col min="16" max="16" width="16.5703125" customWidth="1"/>
    <col min="17" max="17" width="13" customWidth="1"/>
    <col min="18" max="18" width="13.7109375" bestFit="1" customWidth="1"/>
    <col min="19" max="19" width="14" customWidth="1"/>
    <col min="20" max="20" width="13" customWidth="1"/>
    <col min="21" max="21" width="13.85546875" bestFit="1" customWidth="1"/>
    <col min="22" max="22" width="12.28515625" bestFit="1" customWidth="1"/>
    <col min="23" max="23" width="18.28515625" bestFit="1" customWidth="1"/>
    <col min="24" max="24" width="16.42578125" bestFit="1" customWidth="1"/>
  </cols>
  <sheetData>
    <row r="1" spans="1:23" ht="30.75" x14ac:dyDescent="0.25">
      <c r="A1" s="162"/>
      <c r="B1" s="35"/>
      <c r="C1" s="36"/>
      <c r="D1" s="35"/>
      <c r="E1" s="35"/>
      <c r="F1" s="35"/>
      <c r="G1" s="35"/>
      <c r="H1" s="37"/>
      <c r="I1" s="38"/>
      <c r="J1" s="36"/>
      <c r="K1" s="36"/>
      <c r="L1" s="39"/>
      <c r="M1" s="35"/>
      <c r="N1" s="36"/>
      <c r="O1" s="40"/>
      <c r="P1" s="39"/>
      <c r="Q1" s="39"/>
      <c r="R1" s="39"/>
      <c r="S1" s="39"/>
      <c r="T1" s="39"/>
      <c r="U1" s="36"/>
    </row>
    <row r="2" spans="1:23" ht="30.75" x14ac:dyDescent="0.25">
      <c r="A2" s="162"/>
      <c r="B2" s="35"/>
      <c r="C2" s="36"/>
      <c r="D2" s="35"/>
      <c r="E2" s="35"/>
      <c r="F2" s="35"/>
      <c r="G2" s="35"/>
      <c r="H2" s="37"/>
      <c r="I2" s="38"/>
      <c r="J2" s="36"/>
      <c r="K2" s="36"/>
      <c r="L2" s="39"/>
      <c r="M2" s="35"/>
      <c r="N2" s="36"/>
      <c r="O2" s="40"/>
      <c r="P2" s="39"/>
      <c r="Q2" s="39"/>
      <c r="R2" s="39"/>
      <c r="S2" s="39"/>
      <c r="T2" s="39"/>
      <c r="U2" s="36"/>
    </row>
    <row r="3" spans="1:23" x14ac:dyDescent="0.25">
      <c r="A3" s="164" t="s">
        <v>276</v>
      </c>
      <c r="B3" s="35"/>
      <c r="C3" s="36"/>
      <c r="D3" s="35"/>
      <c r="E3" s="35"/>
      <c r="F3" s="35"/>
      <c r="G3" s="35"/>
      <c r="H3" s="35"/>
      <c r="I3" s="38"/>
      <c r="J3" s="36"/>
      <c r="K3" s="36"/>
      <c r="L3" s="39"/>
      <c r="M3" s="35"/>
      <c r="N3" s="36"/>
      <c r="O3" s="39"/>
      <c r="P3" s="39"/>
      <c r="Q3" s="39"/>
      <c r="R3" s="39"/>
      <c r="S3" s="39"/>
      <c r="T3" s="39"/>
      <c r="U3" s="36"/>
    </row>
    <row r="4" spans="1:23" x14ac:dyDescent="0.25">
      <c r="A4" s="163" t="s">
        <v>277</v>
      </c>
      <c r="B4" s="35"/>
      <c r="C4" s="36"/>
      <c r="D4" s="35"/>
      <c r="E4" s="35"/>
      <c r="F4" s="35"/>
      <c r="G4" s="35"/>
      <c r="H4" s="35"/>
      <c r="I4" s="38"/>
      <c r="J4" s="36"/>
      <c r="K4" s="36"/>
      <c r="L4" s="39"/>
      <c r="M4" s="41"/>
      <c r="N4" s="36"/>
      <c r="O4" s="39"/>
      <c r="P4" s="39"/>
      <c r="Q4" s="39"/>
      <c r="R4" s="39"/>
      <c r="S4" s="39"/>
      <c r="T4" s="39"/>
      <c r="U4" s="36"/>
    </row>
    <row r="5" spans="1:23" ht="22.5" customHeight="1" x14ac:dyDescent="0.25">
      <c r="A5" s="143" t="s">
        <v>278</v>
      </c>
      <c r="B5" s="145" t="s">
        <v>279</v>
      </c>
      <c r="C5" s="147" t="s">
        <v>280</v>
      </c>
      <c r="D5" s="145" t="s">
        <v>281</v>
      </c>
      <c r="E5" s="145" t="s">
        <v>282</v>
      </c>
      <c r="F5" s="149" t="s">
        <v>283</v>
      </c>
      <c r="G5" s="149" t="s">
        <v>284</v>
      </c>
      <c r="H5" s="145" t="s">
        <v>285</v>
      </c>
      <c r="I5" s="151" t="s">
        <v>286</v>
      </c>
      <c r="J5" s="153" t="s">
        <v>287</v>
      </c>
      <c r="K5" s="153" t="s">
        <v>288</v>
      </c>
      <c r="L5" s="141" t="s">
        <v>289</v>
      </c>
      <c r="M5" s="143" t="s">
        <v>290</v>
      </c>
      <c r="N5" s="153" t="s">
        <v>291</v>
      </c>
      <c r="O5" s="141" t="s">
        <v>292</v>
      </c>
      <c r="P5" s="160" t="s">
        <v>293</v>
      </c>
      <c r="Q5" s="155" t="s">
        <v>294</v>
      </c>
      <c r="R5" s="155" t="s">
        <v>295</v>
      </c>
      <c r="S5" s="155" t="s">
        <v>296</v>
      </c>
      <c r="T5" s="155" t="s">
        <v>297</v>
      </c>
      <c r="U5" s="157" t="s">
        <v>298</v>
      </c>
      <c r="V5" s="157" t="s">
        <v>299</v>
      </c>
    </row>
    <row r="6" spans="1:23" ht="24.75" customHeight="1" x14ac:dyDescent="0.25">
      <c r="A6" s="144"/>
      <c r="B6" s="146"/>
      <c r="C6" s="148"/>
      <c r="D6" s="146"/>
      <c r="E6" s="146"/>
      <c r="F6" s="150"/>
      <c r="G6" s="150"/>
      <c r="H6" s="146"/>
      <c r="I6" s="152"/>
      <c r="J6" s="154"/>
      <c r="K6" s="154"/>
      <c r="L6" s="142"/>
      <c r="M6" s="159"/>
      <c r="N6" s="154"/>
      <c r="O6" s="142"/>
      <c r="P6" s="161"/>
      <c r="Q6" s="156"/>
      <c r="R6" s="156"/>
      <c r="S6" s="156"/>
      <c r="T6" s="156"/>
      <c r="U6" s="158"/>
      <c r="V6" s="158"/>
    </row>
    <row r="7" spans="1:23" x14ac:dyDescent="0.25">
      <c r="A7" s="42"/>
      <c r="B7" s="42"/>
      <c r="C7" s="43"/>
      <c r="D7" s="42"/>
      <c r="E7" s="42"/>
      <c r="F7" s="42"/>
      <c r="G7" s="42"/>
      <c r="H7" s="42"/>
      <c r="I7" s="44"/>
      <c r="J7" s="45"/>
      <c r="K7" s="45"/>
      <c r="L7" s="46"/>
      <c r="M7" s="47"/>
      <c r="N7" s="45"/>
      <c r="O7" s="48"/>
      <c r="P7" s="49"/>
      <c r="Q7" s="49"/>
      <c r="R7" s="49"/>
      <c r="S7" s="49"/>
      <c r="T7" s="49"/>
      <c r="U7" s="45"/>
    </row>
    <row r="8" spans="1:23" x14ac:dyDescent="0.25">
      <c r="A8" s="50" t="s">
        <v>300</v>
      </c>
      <c r="B8" s="51">
        <f>+B10+B58</f>
        <v>27469952847</v>
      </c>
      <c r="C8" s="51">
        <f t="shared" ref="C8:T8" si="0">+C10+C58</f>
        <v>21487687932.368004</v>
      </c>
      <c r="D8" s="51">
        <f t="shared" si="0"/>
        <v>0</v>
      </c>
      <c r="E8" s="51">
        <f t="shared" si="0"/>
        <v>0</v>
      </c>
      <c r="F8" s="52">
        <f t="shared" si="0"/>
        <v>0</v>
      </c>
      <c r="G8" s="52">
        <f t="shared" si="0"/>
        <v>0</v>
      </c>
      <c r="H8" s="51">
        <f t="shared" si="0"/>
        <v>48957640779.368004</v>
      </c>
      <c r="I8" s="53">
        <f>+I10+I58</f>
        <v>3906939881.6300001</v>
      </c>
      <c r="J8" s="51">
        <f t="shared" si="0"/>
        <v>1183459327.8699999</v>
      </c>
      <c r="K8" s="51">
        <f t="shared" si="0"/>
        <v>4121475333.3000002</v>
      </c>
      <c r="L8" s="54">
        <f t="shared" si="0"/>
        <v>4742790566.6000004</v>
      </c>
      <c r="M8" s="55">
        <f t="shared" si="0"/>
        <v>2542743813.3299999</v>
      </c>
      <c r="N8" s="55">
        <f t="shared" si="0"/>
        <v>3377847698.0999999</v>
      </c>
      <c r="O8" s="56">
        <f t="shared" si="0"/>
        <v>597728525.40999997</v>
      </c>
      <c r="P8" s="57">
        <f t="shared" si="0"/>
        <v>3696544775.9400001</v>
      </c>
      <c r="Q8" s="57">
        <f t="shared" si="0"/>
        <v>8091297422.4300003</v>
      </c>
      <c r="R8" s="57">
        <f t="shared" si="0"/>
        <v>747892798.71000004</v>
      </c>
      <c r="S8" s="57">
        <f t="shared" si="0"/>
        <v>2852531687.8200002</v>
      </c>
      <c r="T8" s="57">
        <f t="shared" si="0"/>
        <v>5186498969.96</v>
      </c>
      <c r="U8" s="55">
        <f>+U10+U58</f>
        <v>41047750801.099998</v>
      </c>
      <c r="V8" s="134">
        <f>+U8/H8</f>
        <v>0.83843400432805504</v>
      </c>
      <c r="W8" s="132"/>
    </row>
    <row r="9" spans="1:23" x14ac:dyDescent="0.25">
      <c r="A9" s="42"/>
      <c r="B9" s="43"/>
      <c r="C9" s="43"/>
      <c r="D9" s="42"/>
      <c r="E9" s="42"/>
      <c r="F9" s="42"/>
      <c r="G9" s="42"/>
      <c r="H9" s="43"/>
      <c r="I9" s="59"/>
      <c r="J9" s="60"/>
      <c r="K9" s="60"/>
      <c r="L9" s="61"/>
      <c r="M9" s="60"/>
      <c r="N9" s="60"/>
      <c r="O9" s="62"/>
      <c r="P9" s="63"/>
      <c r="Q9" s="63"/>
      <c r="R9" s="63"/>
      <c r="S9" s="63"/>
      <c r="T9" s="63"/>
      <c r="U9" s="60"/>
      <c r="V9" s="64"/>
    </row>
    <row r="10" spans="1:23" x14ac:dyDescent="0.25">
      <c r="A10" s="65" t="s">
        <v>301</v>
      </c>
      <c r="B10" s="53">
        <f>SUM(B12)</f>
        <v>27443329349</v>
      </c>
      <c r="C10" s="53">
        <f>SUM(C12)</f>
        <v>9309675031.9700012</v>
      </c>
      <c r="D10" s="66">
        <f t="shared" ref="D10:T10" si="1">SUM(D12)</f>
        <v>0</v>
      </c>
      <c r="E10" s="51">
        <f t="shared" si="1"/>
        <v>0</v>
      </c>
      <c r="F10" s="66">
        <f t="shared" si="1"/>
        <v>0</v>
      </c>
      <c r="G10" s="66">
        <f t="shared" si="1"/>
        <v>0</v>
      </c>
      <c r="H10" s="53">
        <f t="shared" si="1"/>
        <v>36753004380.970001</v>
      </c>
      <c r="I10" s="53">
        <f t="shared" si="1"/>
        <v>211165239</v>
      </c>
      <c r="J10" s="53">
        <f t="shared" si="1"/>
        <v>1176618249</v>
      </c>
      <c r="K10" s="53">
        <f t="shared" si="1"/>
        <v>4095215818.4000001</v>
      </c>
      <c r="L10" s="67">
        <f t="shared" si="1"/>
        <v>4719890918</v>
      </c>
      <c r="M10" s="68">
        <f t="shared" si="1"/>
        <v>2490749766.98</v>
      </c>
      <c r="N10" s="68">
        <f t="shared" si="1"/>
        <v>3340520880.1700001</v>
      </c>
      <c r="O10" s="62">
        <f t="shared" si="1"/>
        <v>552403081</v>
      </c>
      <c r="P10" s="69">
        <f t="shared" si="1"/>
        <v>2917619909</v>
      </c>
      <c r="Q10" s="69">
        <f t="shared" si="1"/>
        <v>4786551023.9700003</v>
      </c>
      <c r="R10" s="69">
        <f t="shared" si="1"/>
        <v>701843713.60000002</v>
      </c>
      <c r="S10" s="69">
        <f t="shared" si="1"/>
        <v>2512846611</v>
      </c>
      <c r="T10" s="69">
        <f t="shared" si="1"/>
        <v>3517322288.98</v>
      </c>
      <c r="U10" s="68">
        <f>SUM(U12)</f>
        <v>31022747499.099998</v>
      </c>
      <c r="V10" s="58">
        <f>+U10/H10</f>
        <v>0.84408738881665357</v>
      </c>
    </row>
    <row r="11" spans="1:23" x14ac:dyDescent="0.25">
      <c r="A11" s="71"/>
      <c r="B11" s="72"/>
      <c r="C11" s="72"/>
      <c r="D11" s="73"/>
      <c r="E11" s="73"/>
      <c r="F11" s="73"/>
      <c r="G11" s="73"/>
      <c r="H11" s="72"/>
      <c r="I11" s="74"/>
      <c r="J11" s="75"/>
      <c r="K11" s="75"/>
      <c r="L11" s="76"/>
      <c r="M11" s="75"/>
      <c r="N11" s="75"/>
      <c r="O11" s="77"/>
      <c r="P11" s="78"/>
      <c r="Q11" s="78"/>
      <c r="R11" s="78"/>
      <c r="S11" s="78"/>
      <c r="T11" s="78"/>
      <c r="U11" s="75"/>
      <c r="V11" s="64"/>
    </row>
    <row r="12" spans="1:23" x14ac:dyDescent="0.25">
      <c r="A12" s="65" t="s">
        <v>302</v>
      </c>
      <c r="B12" s="53">
        <f>+B18+B22+B26+B34+B42+B30+B14+B50+B46+B38</f>
        <v>27443329349</v>
      </c>
      <c r="C12" s="53">
        <f>+C18+C22+C26+C34+C42+C30+C14+C50+C46+C38</f>
        <v>9309675031.9700012</v>
      </c>
      <c r="D12" s="53">
        <f t="shared" ref="D12:T12" si="2">+D18+D22+D26+D34+D42+D30+D14+D50+D46</f>
        <v>0</v>
      </c>
      <c r="E12" s="53">
        <f t="shared" si="2"/>
        <v>0</v>
      </c>
      <c r="F12" s="53">
        <f t="shared" si="2"/>
        <v>0</v>
      </c>
      <c r="G12" s="53">
        <f t="shared" si="2"/>
        <v>0</v>
      </c>
      <c r="H12" s="53">
        <f>+H18+H22+H26+H34+H42+H30+H14+H50+H46+H38</f>
        <v>36753004380.970001</v>
      </c>
      <c r="I12" s="53">
        <f t="shared" si="2"/>
        <v>211165239</v>
      </c>
      <c r="J12" s="53">
        <f t="shared" si="2"/>
        <v>1176618249</v>
      </c>
      <c r="K12" s="53">
        <f t="shared" si="2"/>
        <v>4095215818.4000001</v>
      </c>
      <c r="L12" s="53">
        <f t="shared" si="2"/>
        <v>4719890918</v>
      </c>
      <c r="M12" s="53">
        <f t="shared" si="2"/>
        <v>2490749766.98</v>
      </c>
      <c r="N12" s="53">
        <f t="shared" si="2"/>
        <v>3340520880.1700001</v>
      </c>
      <c r="O12" s="53">
        <f t="shared" si="2"/>
        <v>552403081</v>
      </c>
      <c r="P12" s="53">
        <f t="shared" si="2"/>
        <v>2917619909</v>
      </c>
      <c r="Q12" s="53">
        <f t="shared" si="2"/>
        <v>4786551023.9700003</v>
      </c>
      <c r="R12" s="53">
        <f t="shared" si="2"/>
        <v>701843713.60000002</v>
      </c>
      <c r="S12" s="53">
        <f t="shared" si="2"/>
        <v>2512846611</v>
      </c>
      <c r="T12" s="53">
        <f t="shared" si="2"/>
        <v>3517322288.98</v>
      </c>
      <c r="U12" s="79">
        <f>+U18+U22+U26+U34+U42+U30+U14+U50+U46</f>
        <v>31022747499.099998</v>
      </c>
      <c r="V12" s="58">
        <f>+U12/H12</f>
        <v>0.84408738881665357</v>
      </c>
    </row>
    <row r="13" spans="1:23" x14ac:dyDescent="0.25">
      <c r="A13" s="65"/>
      <c r="B13" s="53"/>
      <c r="C13" s="53"/>
      <c r="D13" s="66"/>
      <c r="E13" s="66"/>
      <c r="F13" s="66"/>
      <c r="G13" s="66"/>
      <c r="H13" s="80"/>
      <c r="I13" s="81"/>
      <c r="J13" s="82"/>
      <c r="K13" s="82"/>
      <c r="L13" s="83"/>
      <c r="M13" s="68"/>
      <c r="N13" s="68"/>
      <c r="O13" s="62"/>
      <c r="P13" s="69"/>
      <c r="Q13" s="69"/>
      <c r="R13" s="69"/>
      <c r="S13" s="69"/>
      <c r="T13" s="69"/>
      <c r="U13" s="68"/>
      <c r="V13" s="64"/>
    </row>
    <row r="14" spans="1:23" x14ac:dyDescent="0.25">
      <c r="A14" s="65" t="s">
        <v>303</v>
      </c>
      <c r="B14" s="53">
        <f>SUM(B15:B17)</f>
        <v>12700000</v>
      </c>
      <c r="C14" s="53">
        <f>SUM(C15:C16)</f>
        <v>0</v>
      </c>
      <c r="D14" s="53">
        <f>SUM(D15:D16)</f>
        <v>0</v>
      </c>
      <c r="E14" s="53">
        <f>SUM(E15:E16)</f>
        <v>0</v>
      </c>
      <c r="F14" s="53">
        <f>SUM(F15:F16)</f>
        <v>0</v>
      </c>
      <c r="G14" s="53">
        <f>SUM(G15:G16)</f>
        <v>0</v>
      </c>
      <c r="H14" s="68">
        <f>SUM(H15:H17)</f>
        <v>12700000</v>
      </c>
      <c r="I14" s="55">
        <f t="shared" ref="I14:T14" si="3">SUM(I15:I17)</f>
        <v>0</v>
      </c>
      <c r="J14" s="55">
        <f t="shared" si="3"/>
        <v>31837000</v>
      </c>
      <c r="K14" s="55">
        <f t="shared" si="3"/>
        <v>0</v>
      </c>
      <c r="L14" s="84">
        <f t="shared" si="3"/>
        <v>4884985</v>
      </c>
      <c r="M14" s="84">
        <f t="shared" si="3"/>
        <v>0</v>
      </c>
      <c r="N14" s="55">
        <f t="shared" si="3"/>
        <v>0</v>
      </c>
      <c r="O14" s="56">
        <f t="shared" si="3"/>
        <v>0</v>
      </c>
      <c r="P14" s="57">
        <f t="shared" si="3"/>
        <v>1138400</v>
      </c>
      <c r="Q14" s="57">
        <f t="shared" si="3"/>
        <v>0</v>
      </c>
      <c r="R14" s="57">
        <f t="shared" si="3"/>
        <v>2366500</v>
      </c>
      <c r="S14" s="57">
        <f t="shared" si="3"/>
        <v>0</v>
      </c>
      <c r="T14" s="57">
        <f t="shared" si="3"/>
        <v>4984600</v>
      </c>
      <c r="U14" s="55">
        <f>SUM(U15:U17)</f>
        <v>45211485</v>
      </c>
      <c r="V14" s="58">
        <f t="shared" ref="V14:V65" si="4">IF(H14=0,0,U14/H14)</f>
        <v>3.5599594488188977</v>
      </c>
    </row>
    <row r="15" spans="1:23" x14ac:dyDescent="0.25">
      <c r="A15" s="71" t="s">
        <v>304</v>
      </c>
      <c r="B15" s="85">
        <v>12700000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f>(B15+C15+F15-G15-D15-E15)</f>
        <v>12700000</v>
      </c>
      <c r="I15" s="72">
        <v>0</v>
      </c>
      <c r="J15" s="72">
        <v>31837000</v>
      </c>
      <c r="K15" s="72">
        <v>0</v>
      </c>
      <c r="L15" s="72">
        <v>4884985</v>
      </c>
      <c r="M15" s="72">
        <v>0</v>
      </c>
      <c r="N15" s="72">
        <v>0</v>
      </c>
      <c r="O15" s="72">
        <v>0</v>
      </c>
      <c r="P15" s="72">
        <v>1138400</v>
      </c>
      <c r="Q15" s="72">
        <v>0</v>
      </c>
      <c r="R15" s="72">
        <v>2366500</v>
      </c>
      <c r="S15" s="72">
        <v>0</v>
      </c>
      <c r="T15" s="72">
        <v>4984600</v>
      </c>
      <c r="U15" s="75">
        <f>SUM(I15:T15)</f>
        <v>45211485</v>
      </c>
      <c r="V15" s="86">
        <f t="shared" si="4"/>
        <v>3.5599594488188977</v>
      </c>
    </row>
    <row r="16" spans="1:23" x14ac:dyDescent="0.25">
      <c r="A16" s="71" t="s">
        <v>305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f>(B16+C16)</f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5">
        <f>SUM(I16:T16)</f>
        <v>0</v>
      </c>
      <c r="V16" s="86">
        <f t="shared" si="4"/>
        <v>0</v>
      </c>
    </row>
    <row r="17" spans="1:24" x14ac:dyDescent="0.25">
      <c r="A17" s="71" t="s">
        <v>306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f>(B17+C17)</f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5">
        <f>SUM(I17:T17)</f>
        <v>0</v>
      </c>
      <c r="V17" s="86">
        <f t="shared" si="4"/>
        <v>0</v>
      </c>
    </row>
    <row r="18" spans="1:24" x14ac:dyDescent="0.25">
      <c r="A18" s="65" t="s">
        <v>307</v>
      </c>
      <c r="B18" s="53">
        <f>SUM(B19:B21)</f>
        <v>6647777818</v>
      </c>
      <c r="C18" s="53">
        <f t="shared" ref="C18:T18" si="5">SUM(C19:C21)</f>
        <v>6327935005.9700003</v>
      </c>
      <c r="D18" s="66">
        <f t="shared" si="5"/>
        <v>0</v>
      </c>
      <c r="E18" s="66">
        <f t="shared" si="5"/>
        <v>0</v>
      </c>
      <c r="F18" s="66">
        <f t="shared" si="5"/>
        <v>0</v>
      </c>
      <c r="G18" s="66">
        <f t="shared" si="5"/>
        <v>0</v>
      </c>
      <c r="H18" s="68">
        <f t="shared" si="5"/>
        <v>12975712823.970001</v>
      </c>
      <c r="I18" s="87">
        <f t="shared" si="5"/>
        <v>197208806</v>
      </c>
      <c r="J18" s="68">
        <f t="shared" si="5"/>
        <v>672330003</v>
      </c>
      <c r="K18" s="68">
        <f t="shared" si="5"/>
        <v>210712685</v>
      </c>
      <c r="L18" s="88">
        <f t="shared" si="5"/>
        <v>868879459</v>
      </c>
      <c r="M18" s="68">
        <f t="shared" si="5"/>
        <v>359831174.72000003</v>
      </c>
      <c r="N18" s="68">
        <f t="shared" si="5"/>
        <v>61345800</v>
      </c>
      <c r="O18" s="62">
        <f t="shared" si="5"/>
        <v>484405213</v>
      </c>
      <c r="P18" s="69">
        <f t="shared" si="5"/>
        <v>1984677469</v>
      </c>
      <c r="Q18" s="69">
        <f t="shared" si="5"/>
        <v>1872961745.97</v>
      </c>
      <c r="R18" s="69">
        <f t="shared" si="5"/>
        <v>0</v>
      </c>
      <c r="S18" s="69">
        <f t="shared" si="5"/>
        <v>1909936879</v>
      </c>
      <c r="T18" s="69">
        <f t="shared" si="5"/>
        <v>2283125756.98</v>
      </c>
      <c r="U18" s="55">
        <f>SUM(U19:U21)</f>
        <v>10905414991.67</v>
      </c>
      <c r="V18" s="58">
        <f t="shared" si="4"/>
        <v>0.84044823892252418</v>
      </c>
      <c r="W18" s="70"/>
    </row>
    <row r="19" spans="1:24" x14ac:dyDescent="0.25">
      <c r="A19" s="71" t="s">
        <v>304</v>
      </c>
      <c r="B19" s="72">
        <v>6647777818</v>
      </c>
      <c r="C19" s="72">
        <v>0</v>
      </c>
      <c r="D19" s="73">
        <v>0</v>
      </c>
      <c r="E19" s="73">
        <v>0</v>
      </c>
      <c r="F19" s="73">
        <v>0</v>
      </c>
      <c r="G19" s="73">
        <v>0</v>
      </c>
      <c r="H19" s="72">
        <f>(B19+C19+F19-G19-D19-E19)</f>
        <v>6647777818</v>
      </c>
      <c r="I19" s="72">
        <v>197208806</v>
      </c>
      <c r="J19" s="72">
        <v>672330003</v>
      </c>
      <c r="K19" s="72">
        <v>210712685</v>
      </c>
      <c r="L19" s="72">
        <v>868879459</v>
      </c>
      <c r="M19" s="72">
        <v>359831174.72000003</v>
      </c>
      <c r="N19" s="72">
        <v>61345800</v>
      </c>
      <c r="O19" s="72">
        <v>484405213</v>
      </c>
      <c r="P19" s="72">
        <v>995922019</v>
      </c>
      <c r="Q19" s="72">
        <f>245026740</f>
        <v>245026740</v>
      </c>
      <c r="R19" s="72">
        <v>0</v>
      </c>
      <c r="S19" s="72">
        <v>321272836</v>
      </c>
      <c r="T19" s="72">
        <f>1319292723.53+16374793</f>
        <v>1335667516.53</v>
      </c>
      <c r="U19" s="75">
        <f>SUM(I19:T19)</f>
        <v>5752602252.25</v>
      </c>
      <c r="V19" s="86">
        <f t="shared" si="4"/>
        <v>0.86534213533338034</v>
      </c>
    </row>
    <row r="20" spans="1:24" x14ac:dyDescent="0.25">
      <c r="A20" s="71" t="s">
        <v>305</v>
      </c>
      <c r="B20" s="72">
        <v>0</v>
      </c>
      <c r="C20" s="72">
        <f>4700000000+1627935005.97</f>
        <v>6327935005.9700003</v>
      </c>
      <c r="D20" s="73">
        <v>0</v>
      </c>
      <c r="E20" s="73">
        <v>0</v>
      </c>
      <c r="F20" s="73">
        <v>0</v>
      </c>
      <c r="G20" s="73">
        <v>0</v>
      </c>
      <c r="H20" s="72">
        <f>(B20+C20)</f>
        <v>6327935005.9700003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988755450</v>
      </c>
      <c r="Q20" s="72">
        <v>1627935005.97</v>
      </c>
      <c r="R20" s="72">
        <v>0</v>
      </c>
      <c r="S20" s="72">
        <v>1588664043</v>
      </c>
      <c r="T20" s="72">
        <f>947908240.45-450000</f>
        <v>947458240.45000005</v>
      </c>
      <c r="U20" s="75">
        <f>SUM(I20:T20)</f>
        <v>5152812739.4200001</v>
      </c>
      <c r="V20" s="86">
        <f t="shared" si="4"/>
        <v>0.81429609099313638</v>
      </c>
    </row>
    <row r="21" spans="1:24" x14ac:dyDescent="0.25">
      <c r="A21" s="71" t="s">
        <v>306</v>
      </c>
      <c r="B21" s="72">
        <v>0</v>
      </c>
      <c r="C21" s="72">
        <v>0</v>
      </c>
      <c r="D21" s="73">
        <v>0</v>
      </c>
      <c r="E21" s="73">
        <v>0</v>
      </c>
      <c r="F21" s="73">
        <v>0</v>
      </c>
      <c r="G21" s="73">
        <v>0</v>
      </c>
      <c r="H21" s="72">
        <f>(B21+C21)</f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5">
        <f>SUM(I21:T21)</f>
        <v>0</v>
      </c>
      <c r="V21" s="86">
        <f t="shared" si="4"/>
        <v>0</v>
      </c>
    </row>
    <row r="22" spans="1:24" x14ac:dyDescent="0.25">
      <c r="A22" s="65" t="s">
        <v>308</v>
      </c>
      <c r="B22" s="53">
        <f t="shared" ref="B22:G22" si="6">SUM(B23:B24)</f>
        <v>129290280</v>
      </c>
      <c r="C22" s="53">
        <f t="shared" si="6"/>
        <v>0</v>
      </c>
      <c r="D22" s="66">
        <f t="shared" si="6"/>
        <v>0</v>
      </c>
      <c r="E22" s="66">
        <f t="shared" si="6"/>
        <v>0</v>
      </c>
      <c r="F22" s="66">
        <f t="shared" si="6"/>
        <v>0</v>
      </c>
      <c r="G22" s="66">
        <f t="shared" si="6"/>
        <v>0</v>
      </c>
      <c r="H22" s="68">
        <f t="shared" ref="H22:T22" si="7">SUM(H23:H25)</f>
        <v>129290280</v>
      </c>
      <c r="I22" s="87">
        <f t="shared" si="7"/>
        <v>13956433</v>
      </c>
      <c r="J22" s="68">
        <f t="shared" si="7"/>
        <v>6798922</v>
      </c>
      <c r="K22" s="68">
        <f t="shared" si="7"/>
        <v>52197095</v>
      </c>
      <c r="L22" s="88">
        <f t="shared" si="7"/>
        <v>7047917</v>
      </c>
      <c r="M22" s="68">
        <f t="shared" si="7"/>
        <v>7114255</v>
      </c>
      <c r="N22" s="68">
        <f t="shared" si="7"/>
        <v>18423460.599999998</v>
      </c>
      <c r="O22" s="62">
        <f t="shared" si="7"/>
        <v>67997868</v>
      </c>
      <c r="P22" s="69">
        <f t="shared" si="7"/>
        <v>8367780</v>
      </c>
      <c r="Q22" s="69">
        <f t="shared" si="7"/>
        <v>13091715</v>
      </c>
      <c r="R22" s="69">
        <f t="shared" si="7"/>
        <v>38033256</v>
      </c>
      <c r="S22" s="69">
        <f t="shared" si="7"/>
        <v>8861244</v>
      </c>
      <c r="T22" s="69">
        <f t="shared" si="7"/>
        <v>15723541</v>
      </c>
      <c r="U22" s="55">
        <f>SUM(U23:U25)</f>
        <v>257613486.59999999</v>
      </c>
      <c r="V22" s="58">
        <f t="shared" si="4"/>
        <v>1.9925201384048359</v>
      </c>
      <c r="W22" s="70"/>
    </row>
    <row r="23" spans="1:24" x14ac:dyDescent="0.25">
      <c r="A23" s="71" t="s">
        <v>304</v>
      </c>
      <c r="B23" s="72">
        <v>129290280</v>
      </c>
      <c r="C23" s="72">
        <v>0</v>
      </c>
      <c r="D23" s="73">
        <v>0</v>
      </c>
      <c r="E23" s="73">
        <v>0</v>
      </c>
      <c r="F23" s="73">
        <v>0</v>
      </c>
      <c r="G23" s="73">
        <v>0</v>
      </c>
      <c r="H23" s="72">
        <f>(B23+C23+F23-G23-D23-E23)</f>
        <v>129290280</v>
      </c>
      <c r="I23" s="72">
        <v>13956433</v>
      </c>
      <c r="J23" s="72">
        <v>6798922</v>
      </c>
      <c r="K23" s="72">
        <f>85427495-33230400</f>
        <v>52197095</v>
      </c>
      <c r="L23" s="72">
        <v>7047917</v>
      </c>
      <c r="M23" s="72">
        <v>7114255</v>
      </c>
      <c r="N23" s="72">
        <v>18423460.599999998</v>
      </c>
      <c r="O23" s="72">
        <v>67997868</v>
      </c>
      <c r="P23" s="72">
        <v>8367780</v>
      </c>
      <c r="Q23" s="72">
        <v>13091715</v>
      </c>
      <c r="R23" s="72">
        <v>38033256</v>
      </c>
      <c r="S23" s="72">
        <v>8861244</v>
      </c>
      <c r="T23" s="72">
        <v>15723541</v>
      </c>
      <c r="U23" s="75">
        <f>SUM(I23:T23)</f>
        <v>257613486.59999999</v>
      </c>
      <c r="V23" s="133">
        <f t="shared" si="4"/>
        <v>1.9925201384048359</v>
      </c>
      <c r="W23" s="132"/>
    </row>
    <row r="24" spans="1:24" x14ac:dyDescent="0.25">
      <c r="A24" s="71" t="s">
        <v>305</v>
      </c>
      <c r="B24" s="72">
        <v>0</v>
      </c>
      <c r="C24" s="72">
        <v>0</v>
      </c>
      <c r="D24" s="73">
        <v>0</v>
      </c>
      <c r="E24" s="73">
        <v>0</v>
      </c>
      <c r="F24" s="73">
        <v>0</v>
      </c>
      <c r="G24" s="73">
        <v>0</v>
      </c>
      <c r="H24" s="72">
        <f>(B24+C24)</f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5">
        <f>SUM(I24:T24)</f>
        <v>0</v>
      </c>
      <c r="V24" s="86">
        <f t="shared" si="4"/>
        <v>0</v>
      </c>
    </row>
    <row r="25" spans="1:24" x14ac:dyDescent="0.25">
      <c r="A25" s="71" t="s">
        <v>306</v>
      </c>
      <c r="B25" s="72"/>
      <c r="C25" s="72">
        <v>0</v>
      </c>
      <c r="D25" s="73">
        <v>0</v>
      </c>
      <c r="E25" s="73">
        <v>0</v>
      </c>
      <c r="F25" s="73">
        <v>0</v>
      </c>
      <c r="G25" s="73">
        <v>0</v>
      </c>
      <c r="H25" s="72">
        <f>(B25+C25)</f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0</v>
      </c>
      <c r="T25" s="72">
        <v>0</v>
      </c>
      <c r="U25" s="75">
        <f>SUM(I25:T25)</f>
        <v>0</v>
      </c>
      <c r="V25" s="86">
        <f t="shared" si="4"/>
        <v>0</v>
      </c>
    </row>
    <row r="26" spans="1:24" x14ac:dyDescent="0.25">
      <c r="A26" s="65" t="s">
        <v>309</v>
      </c>
      <c r="B26" s="53">
        <f t="shared" ref="B26:G26" si="8">SUM(B27:B28)</f>
        <v>0</v>
      </c>
      <c r="C26" s="53">
        <f t="shared" si="8"/>
        <v>0</v>
      </c>
      <c r="D26" s="53">
        <f t="shared" si="8"/>
        <v>0</v>
      </c>
      <c r="E26" s="53">
        <f t="shared" si="8"/>
        <v>0</v>
      </c>
      <c r="F26" s="53">
        <f t="shared" si="8"/>
        <v>0</v>
      </c>
      <c r="G26" s="66">
        <f t="shared" si="8"/>
        <v>0</v>
      </c>
      <c r="H26" s="68">
        <f t="shared" ref="H26:U26" si="9">SUM(H27:H29)</f>
        <v>0</v>
      </c>
      <c r="I26" s="87">
        <v>0</v>
      </c>
      <c r="J26" s="68">
        <f t="shared" si="9"/>
        <v>0</v>
      </c>
      <c r="K26" s="68">
        <f t="shared" si="9"/>
        <v>0</v>
      </c>
      <c r="L26" s="88">
        <f t="shared" si="9"/>
        <v>0</v>
      </c>
      <c r="M26" s="68">
        <f t="shared" si="9"/>
        <v>0</v>
      </c>
      <c r="N26" s="68">
        <f t="shared" si="9"/>
        <v>0</v>
      </c>
      <c r="O26" s="62">
        <f t="shared" si="9"/>
        <v>0</v>
      </c>
      <c r="P26" s="69">
        <f t="shared" si="9"/>
        <v>0</v>
      </c>
      <c r="Q26" s="69">
        <f t="shared" si="9"/>
        <v>0</v>
      </c>
      <c r="R26" s="69">
        <f t="shared" si="9"/>
        <v>0</v>
      </c>
      <c r="S26" s="69">
        <f t="shared" si="9"/>
        <v>0</v>
      </c>
      <c r="T26" s="69">
        <f t="shared" si="9"/>
        <v>0</v>
      </c>
      <c r="U26" s="55">
        <f t="shared" si="9"/>
        <v>0</v>
      </c>
      <c r="V26" s="86">
        <f t="shared" si="4"/>
        <v>0</v>
      </c>
    </row>
    <row r="27" spans="1:24" x14ac:dyDescent="0.25">
      <c r="A27" s="71" t="s">
        <v>304</v>
      </c>
      <c r="B27" s="72">
        <v>0</v>
      </c>
      <c r="C27" s="72">
        <v>0</v>
      </c>
      <c r="D27" s="73">
        <v>0</v>
      </c>
      <c r="E27" s="73">
        <v>0</v>
      </c>
      <c r="F27" s="73">
        <v>0</v>
      </c>
      <c r="G27" s="73">
        <v>0</v>
      </c>
      <c r="H27" s="72">
        <f>(B27+C27+F27-G27-D27-E27)</f>
        <v>0</v>
      </c>
      <c r="I27" s="7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P27" s="72">
        <v>0</v>
      </c>
      <c r="Q27" s="72">
        <v>0</v>
      </c>
      <c r="R27" s="72">
        <v>0</v>
      </c>
      <c r="S27" s="72">
        <v>0</v>
      </c>
      <c r="T27" s="72">
        <v>0</v>
      </c>
      <c r="U27" s="75">
        <f>SUM(I27:T27)</f>
        <v>0</v>
      </c>
      <c r="V27" s="86">
        <f t="shared" si="4"/>
        <v>0</v>
      </c>
    </row>
    <row r="28" spans="1:24" x14ac:dyDescent="0.25">
      <c r="A28" s="71" t="s">
        <v>305</v>
      </c>
      <c r="B28" s="72">
        <v>0</v>
      </c>
      <c r="C28" s="72">
        <v>0</v>
      </c>
      <c r="D28" s="73">
        <v>0</v>
      </c>
      <c r="E28" s="73">
        <v>0</v>
      </c>
      <c r="F28" s="73">
        <v>0</v>
      </c>
      <c r="G28" s="73">
        <v>0</v>
      </c>
      <c r="H28" s="72">
        <f>(B28+C28)</f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89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f>SUM(I28:T28)</f>
        <v>0</v>
      </c>
      <c r="V28" s="86">
        <f t="shared" si="4"/>
        <v>0</v>
      </c>
    </row>
    <row r="29" spans="1:24" x14ac:dyDescent="0.25">
      <c r="A29" s="71" t="s">
        <v>306</v>
      </c>
      <c r="B29" s="72"/>
      <c r="C29" s="72">
        <v>0</v>
      </c>
      <c r="D29" s="73">
        <v>0</v>
      </c>
      <c r="E29" s="73">
        <v>0</v>
      </c>
      <c r="F29" s="73">
        <v>0</v>
      </c>
      <c r="G29" s="73">
        <v>0</v>
      </c>
      <c r="H29" s="72">
        <f>(B29+C29)</f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89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f>SUM(I29:T29)</f>
        <v>0</v>
      </c>
      <c r="V29" s="86">
        <f t="shared" si="4"/>
        <v>0</v>
      </c>
    </row>
    <row r="30" spans="1:24" x14ac:dyDescent="0.25">
      <c r="A30" s="65" t="s">
        <v>310</v>
      </c>
      <c r="B30" s="53">
        <f t="shared" ref="B30:G30" si="10">SUM(B31:B32)</f>
        <v>12449949134</v>
      </c>
      <c r="C30" s="53">
        <f t="shared" si="10"/>
        <v>2961691538</v>
      </c>
      <c r="D30" s="53">
        <f t="shared" si="10"/>
        <v>0</v>
      </c>
      <c r="E30" s="53">
        <f t="shared" si="10"/>
        <v>0</v>
      </c>
      <c r="F30" s="66">
        <f t="shared" si="10"/>
        <v>0</v>
      </c>
      <c r="G30" s="66">
        <f t="shared" si="10"/>
        <v>0</v>
      </c>
      <c r="H30" s="68">
        <f t="shared" ref="H30:T30" si="11">SUM(H31:H33)</f>
        <v>15411640672</v>
      </c>
      <c r="I30" s="68">
        <f t="shared" si="11"/>
        <v>0</v>
      </c>
      <c r="J30" s="68">
        <f t="shared" si="11"/>
        <v>465652324</v>
      </c>
      <c r="K30" s="68">
        <f t="shared" si="11"/>
        <v>2056305248.4000001</v>
      </c>
      <c r="L30" s="88">
        <f t="shared" si="11"/>
        <v>3087616258</v>
      </c>
      <c r="M30" s="68">
        <f t="shared" si="11"/>
        <v>1198852511</v>
      </c>
      <c r="N30" s="68">
        <f t="shared" si="11"/>
        <v>3149736463</v>
      </c>
      <c r="O30" s="62">
        <f t="shared" si="11"/>
        <v>0</v>
      </c>
      <c r="P30" s="69">
        <f t="shared" si="11"/>
        <v>528436260</v>
      </c>
      <c r="Q30" s="69">
        <f t="shared" si="11"/>
        <v>271693491</v>
      </c>
      <c r="R30" s="69">
        <f t="shared" si="11"/>
        <v>377823238.60000002</v>
      </c>
      <c r="S30" s="69">
        <f t="shared" si="11"/>
        <v>0</v>
      </c>
      <c r="T30" s="69">
        <f t="shared" si="11"/>
        <v>938878264</v>
      </c>
      <c r="U30" s="55">
        <f>SUM(U31:U33)</f>
        <v>12074994058</v>
      </c>
      <c r="V30" s="58">
        <f t="shared" si="4"/>
        <v>0.78349828645680486</v>
      </c>
    </row>
    <row r="31" spans="1:24" x14ac:dyDescent="0.25">
      <c r="A31" s="71" t="s">
        <v>304</v>
      </c>
      <c r="B31" s="72">
        <v>12449949134</v>
      </c>
      <c r="C31" s="72">
        <v>0</v>
      </c>
      <c r="D31" s="73">
        <v>0</v>
      </c>
      <c r="E31" s="73">
        <v>0</v>
      </c>
      <c r="F31" s="73">
        <v>0</v>
      </c>
      <c r="G31" s="73">
        <v>0</v>
      </c>
      <c r="H31" s="72">
        <f>(B31+C31+F31-G31-D31-E31)</f>
        <v>12449949134</v>
      </c>
      <c r="I31" s="72">
        <v>0</v>
      </c>
      <c r="J31" s="72">
        <v>465652324</v>
      </c>
      <c r="K31" s="72">
        <v>2056305248.4000001</v>
      </c>
      <c r="L31" s="72">
        <v>3087616258</v>
      </c>
      <c r="M31" s="72">
        <v>1198852511</v>
      </c>
      <c r="N31" s="72">
        <v>3149736463</v>
      </c>
      <c r="O31" s="72">
        <v>0</v>
      </c>
      <c r="P31" s="72">
        <v>528436260</v>
      </c>
      <c r="Q31" s="72">
        <v>271693491</v>
      </c>
      <c r="R31" s="72">
        <v>377823238.60000002</v>
      </c>
      <c r="S31" s="72">
        <v>0</v>
      </c>
      <c r="T31" s="72">
        <v>938878264</v>
      </c>
      <c r="U31" s="75">
        <f>SUM(I31:T31)</f>
        <v>12074994058</v>
      </c>
      <c r="V31" s="86">
        <f t="shared" si="4"/>
        <v>0.96988300337902411</v>
      </c>
      <c r="W31" s="70"/>
      <c r="X31" s="70"/>
    </row>
    <row r="32" spans="1:24" x14ac:dyDescent="0.25">
      <c r="A32" s="71" t="s">
        <v>311</v>
      </c>
      <c r="B32" s="72">
        <v>0</v>
      </c>
      <c r="C32" s="72">
        <v>2961691538</v>
      </c>
      <c r="D32" s="73">
        <v>0</v>
      </c>
      <c r="E32" s="73"/>
      <c r="F32" s="73">
        <v>0</v>
      </c>
      <c r="G32" s="73">
        <v>0</v>
      </c>
      <c r="H32" s="72">
        <f>(B32+C32)</f>
        <v>2961691538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5">
        <f>SUM(I32:T32)</f>
        <v>0</v>
      </c>
      <c r="V32" s="86">
        <f t="shared" si="4"/>
        <v>0</v>
      </c>
    </row>
    <row r="33" spans="1:24" x14ac:dyDescent="0.25">
      <c r="A33" s="71" t="s">
        <v>306</v>
      </c>
      <c r="B33" s="72"/>
      <c r="C33" s="72">
        <v>0</v>
      </c>
      <c r="D33" s="73">
        <v>0</v>
      </c>
      <c r="E33" s="73"/>
      <c r="F33" s="73">
        <v>0</v>
      </c>
      <c r="G33" s="73">
        <v>0</v>
      </c>
      <c r="H33" s="72">
        <f>(B33+C33)</f>
        <v>0</v>
      </c>
      <c r="I33" s="72">
        <v>0</v>
      </c>
      <c r="J33" s="72">
        <v>0</v>
      </c>
      <c r="K33" s="72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2">
        <v>0</v>
      </c>
      <c r="R33" s="72">
        <v>0</v>
      </c>
      <c r="S33" s="72">
        <v>0</v>
      </c>
      <c r="T33" s="72">
        <v>0</v>
      </c>
      <c r="U33" s="75">
        <f>SUM(I33:T33)</f>
        <v>0</v>
      </c>
      <c r="V33" s="86">
        <f t="shared" si="4"/>
        <v>0</v>
      </c>
    </row>
    <row r="34" spans="1:24" ht="21" x14ac:dyDescent="0.25">
      <c r="A34" s="90" t="s">
        <v>312</v>
      </c>
      <c r="B34" s="53">
        <f t="shared" ref="B34:G34" si="12">SUM(B35:B36)</f>
        <v>3429915117</v>
      </c>
      <c r="C34" s="53">
        <f t="shared" si="12"/>
        <v>20048488</v>
      </c>
      <c r="D34" s="53">
        <f t="shared" si="12"/>
        <v>0</v>
      </c>
      <c r="E34" s="53">
        <f t="shared" si="12"/>
        <v>0</v>
      </c>
      <c r="F34" s="66">
        <f t="shared" si="12"/>
        <v>0</v>
      </c>
      <c r="G34" s="66">
        <f t="shared" si="12"/>
        <v>0</v>
      </c>
      <c r="H34" s="68">
        <f t="shared" ref="H34:U34" si="13">SUM(H35:H37)</f>
        <v>3449963605</v>
      </c>
      <c r="I34" s="87">
        <f t="shared" si="13"/>
        <v>0</v>
      </c>
      <c r="J34" s="68">
        <f t="shared" si="13"/>
        <v>0</v>
      </c>
      <c r="K34" s="68">
        <f t="shared" si="13"/>
        <v>0</v>
      </c>
      <c r="L34" s="88">
        <f t="shared" si="13"/>
        <v>0</v>
      </c>
      <c r="M34" s="68">
        <f t="shared" si="13"/>
        <v>650000000</v>
      </c>
      <c r="N34" s="68">
        <f t="shared" si="13"/>
        <v>0</v>
      </c>
      <c r="O34" s="62">
        <f t="shared" si="13"/>
        <v>0</v>
      </c>
      <c r="P34" s="69">
        <f t="shared" si="13"/>
        <v>0</v>
      </c>
      <c r="Q34" s="69">
        <f t="shared" si="13"/>
        <v>1821127510</v>
      </c>
      <c r="R34" s="69">
        <f t="shared" si="13"/>
        <v>283620719</v>
      </c>
      <c r="S34" s="69">
        <f t="shared" si="13"/>
        <v>594048488</v>
      </c>
      <c r="T34" s="69">
        <f t="shared" si="13"/>
        <v>0</v>
      </c>
      <c r="U34" s="55">
        <f t="shared" si="13"/>
        <v>3348796717</v>
      </c>
      <c r="V34" s="58">
        <f t="shared" si="4"/>
        <v>0.9706759550004006</v>
      </c>
    </row>
    <row r="35" spans="1:24" x14ac:dyDescent="0.25">
      <c r="A35" s="71" t="s">
        <v>304</v>
      </c>
      <c r="B35" s="72">
        <v>3429915117</v>
      </c>
      <c r="C35" s="72">
        <v>0</v>
      </c>
      <c r="D35" s="73">
        <v>0</v>
      </c>
      <c r="E35" s="73"/>
      <c r="F35" s="73">
        <v>0</v>
      </c>
      <c r="G35" s="73">
        <v>0</v>
      </c>
      <c r="H35" s="72">
        <f>(B35+C35)</f>
        <v>3429915117</v>
      </c>
      <c r="I35" s="72">
        <v>0</v>
      </c>
      <c r="J35" s="72">
        <v>0</v>
      </c>
      <c r="K35" s="72">
        <v>0</v>
      </c>
      <c r="L35" s="72">
        <v>0</v>
      </c>
      <c r="M35" s="72">
        <v>650000000</v>
      </c>
      <c r="N35" s="72">
        <v>0</v>
      </c>
      <c r="O35" s="72">
        <v>0</v>
      </c>
      <c r="P35" s="72">
        <v>0</v>
      </c>
      <c r="Q35" s="72">
        <v>1821127510</v>
      </c>
      <c r="R35" s="72">
        <v>283620719</v>
      </c>
      <c r="S35" s="72">
        <v>594048488</v>
      </c>
      <c r="T35" s="72">
        <v>0</v>
      </c>
      <c r="U35" s="75">
        <f>SUM(I35:T35)</f>
        <v>3348796717</v>
      </c>
      <c r="V35" s="86">
        <f t="shared" si="4"/>
        <v>0.97634973542116377</v>
      </c>
      <c r="W35" s="70"/>
      <c r="X35" s="70"/>
    </row>
    <row r="36" spans="1:24" x14ac:dyDescent="0.25">
      <c r="A36" s="71" t="s">
        <v>311</v>
      </c>
      <c r="B36" s="72">
        <v>0</v>
      </c>
      <c r="C36" s="72">
        <v>20048488</v>
      </c>
      <c r="D36" s="73">
        <v>0</v>
      </c>
      <c r="E36" s="73"/>
      <c r="F36" s="73">
        <v>0</v>
      </c>
      <c r="G36" s="73">
        <v>0</v>
      </c>
      <c r="H36" s="72">
        <f>(B36+C36)</f>
        <v>20048488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0</v>
      </c>
      <c r="T36" s="72">
        <v>0</v>
      </c>
      <c r="U36" s="75">
        <f>SUM(I36:T36)</f>
        <v>0</v>
      </c>
      <c r="V36" s="86">
        <f t="shared" si="4"/>
        <v>0</v>
      </c>
    </row>
    <row r="37" spans="1:24" x14ac:dyDescent="0.25">
      <c r="A37" s="71" t="s">
        <v>306</v>
      </c>
      <c r="B37" s="91">
        <v>0</v>
      </c>
      <c r="C37" s="92"/>
      <c r="D37" s="93">
        <v>0</v>
      </c>
      <c r="E37" s="93"/>
      <c r="F37" s="93">
        <v>0</v>
      </c>
      <c r="G37" s="93">
        <v>0</v>
      </c>
      <c r="H37" s="92">
        <f>(B37+C37)</f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5">
        <f>SUM(I37:T37)</f>
        <v>0</v>
      </c>
      <c r="V37" s="86">
        <f t="shared" si="4"/>
        <v>0</v>
      </c>
    </row>
    <row r="38" spans="1:24" x14ac:dyDescent="0.25">
      <c r="A38" s="94" t="s">
        <v>313</v>
      </c>
      <c r="B38" s="68">
        <f>SUM(B39:B40)</f>
        <v>60000000</v>
      </c>
      <c r="C38" s="68">
        <f t="shared" ref="C38:U38" si="14">SUM(C39:C40)</f>
        <v>0</v>
      </c>
      <c r="D38" s="68">
        <f t="shared" si="14"/>
        <v>0</v>
      </c>
      <c r="E38" s="68">
        <f t="shared" si="14"/>
        <v>0</v>
      </c>
      <c r="F38" s="95">
        <f t="shared" si="14"/>
        <v>0</v>
      </c>
      <c r="G38" s="95">
        <f t="shared" si="14"/>
        <v>0</v>
      </c>
      <c r="H38" s="68">
        <f t="shared" si="14"/>
        <v>60000000</v>
      </c>
      <c r="I38" s="95">
        <f t="shared" si="14"/>
        <v>0</v>
      </c>
      <c r="J38" s="95">
        <f t="shared" si="14"/>
        <v>0</v>
      </c>
      <c r="K38" s="95">
        <f t="shared" si="14"/>
        <v>0</v>
      </c>
      <c r="L38" s="95">
        <f t="shared" si="14"/>
        <v>0</v>
      </c>
      <c r="M38" s="95">
        <f t="shared" si="14"/>
        <v>0</v>
      </c>
      <c r="N38" s="68">
        <f t="shared" si="14"/>
        <v>0</v>
      </c>
      <c r="O38" s="88">
        <f t="shared" si="14"/>
        <v>0</v>
      </c>
      <c r="P38" s="69">
        <f t="shared" si="14"/>
        <v>0</v>
      </c>
      <c r="Q38" s="69">
        <f t="shared" si="14"/>
        <v>0</v>
      </c>
      <c r="R38" s="69">
        <f t="shared" si="14"/>
        <v>0</v>
      </c>
      <c r="S38" s="69">
        <f t="shared" si="14"/>
        <v>0</v>
      </c>
      <c r="T38" s="69">
        <f t="shared" si="14"/>
        <v>0</v>
      </c>
      <c r="U38" s="68">
        <f t="shared" si="14"/>
        <v>0</v>
      </c>
      <c r="V38" s="86">
        <f t="shared" si="4"/>
        <v>0</v>
      </c>
    </row>
    <row r="39" spans="1:24" x14ac:dyDescent="0.25">
      <c r="A39" s="96" t="s">
        <v>304</v>
      </c>
      <c r="B39" s="97">
        <v>60000000</v>
      </c>
      <c r="C39" s="97">
        <v>0</v>
      </c>
      <c r="D39" s="98">
        <v>0</v>
      </c>
      <c r="E39" s="98"/>
      <c r="F39" s="98">
        <v>0</v>
      </c>
      <c r="G39" s="98">
        <v>0</v>
      </c>
      <c r="H39" s="72">
        <f>(B39+C39)</f>
        <v>60000000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2">
        <v>0</v>
      </c>
      <c r="T39" s="72">
        <v>0</v>
      </c>
      <c r="U39" s="75">
        <f>SUM(I39:T39)</f>
        <v>0</v>
      </c>
      <c r="V39" s="86">
        <f t="shared" si="4"/>
        <v>0</v>
      </c>
    </row>
    <row r="40" spans="1:24" x14ac:dyDescent="0.25">
      <c r="A40" s="96" t="s">
        <v>305</v>
      </c>
      <c r="B40" s="97">
        <v>0</v>
      </c>
      <c r="C40" s="97">
        <v>0</v>
      </c>
      <c r="D40" s="98">
        <v>0</v>
      </c>
      <c r="E40" s="98"/>
      <c r="F40" s="98">
        <v>0</v>
      </c>
      <c r="G40" s="98">
        <v>0</v>
      </c>
      <c r="H40" s="72">
        <f>(B40+C40)</f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89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f>SUM(I40:T40)</f>
        <v>0</v>
      </c>
      <c r="V40" s="86">
        <f t="shared" si="4"/>
        <v>0</v>
      </c>
    </row>
    <row r="41" spans="1:24" x14ac:dyDescent="0.25">
      <c r="A41" s="96" t="s">
        <v>306</v>
      </c>
      <c r="B41" s="97">
        <v>0</v>
      </c>
      <c r="C41" s="97">
        <v>0</v>
      </c>
      <c r="D41" s="98">
        <v>0</v>
      </c>
      <c r="E41" s="98"/>
      <c r="F41" s="98">
        <v>0</v>
      </c>
      <c r="G41" s="98">
        <v>0</v>
      </c>
      <c r="H41" s="72">
        <f>(B41+C41)</f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89">
        <v>0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f>SUM(I41:T41)</f>
        <v>0</v>
      </c>
      <c r="V41" s="86">
        <f t="shared" si="4"/>
        <v>0</v>
      </c>
    </row>
    <row r="42" spans="1:24" x14ac:dyDescent="0.25">
      <c r="A42" s="94" t="s">
        <v>314</v>
      </c>
      <c r="B42" s="68">
        <f>SUM(B43:B44)</f>
        <v>4668468000</v>
      </c>
      <c r="C42" s="68">
        <f t="shared" ref="C42:U42" si="15">SUM(C43:C44)</f>
        <v>0</v>
      </c>
      <c r="D42" s="68">
        <f t="shared" si="15"/>
        <v>0</v>
      </c>
      <c r="E42" s="68">
        <f t="shared" si="15"/>
        <v>0</v>
      </c>
      <c r="F42" s="95">
        <f t="shared" si="15"/>
        <v>0</v>
      </c>
      <c r="G42" s="95">
        <f t="shared" si="15"/>
        <v>0</v>
      </c>
      <c r="H42" s="68">
        <f t="shared" si="15"/>
        <v>4668468000</v>
      </c>
      <c r="I42" s="95">
        <f t="shared" si="15"/>
        <v>0</v>
      </c>
      <c r="J42" s="68">
        <f t="shared" si="15"/>
        <v>0</v>
      </c>
      <c r="K42" s="95">
        <f t="shared" si="15"/>
        <v>1776000790</v>
      </c>
      <c r="L42" s="95">
        <f t="shared" si="15"/>
        <v>751462299</v>
      </c>
      <c r="M42" s="95">
        <f t="shared" si="15"/>
        <v>274951826.25999999</v>
      </c>
      <c r="N42" s="68">
        <f t="shared" si="15"/>
        <v>111015156.56999999</v>
      </c>
      <c r="O42" s="88">
        <f t="shared" si="15"/>
        <v>0</v>
      </c>
      <c r="P42" s="69">
        <f t="shared" si="15"/>
        <v>395000000</v>
      </c>
      <c r="Q42" s="69">
        <f t="shared" si="15"/>
        <v>807676562</v>
      </c>
      <c r="R42" s="69">
        <f t="shared" si="15"/>
        <v>0</v>
      </c>
      <c r="S42" s="69">
        <f t="shared" si="15"/>
        <v>0</v>
      </c>
      <c r="T42" s="69">
        <f t="shared" si="15"/>
        <v>274610127</v>
      </c>
      <c r="U42" s="68">
        <f t="shared" si="15"/>
        <v>4390716760.8299999</v>
      </c>
      <c r="V42" s="86">
        <f t="shared" si="4"/>
        <v>0.94050484245152799</v>
      </c>
      <c r="W42" s="70"/>
    </row>
    <row r="43" spans="1:24" x14ac:dyDescent="0.25">
      <c r="A43" s="96" t="s">
        <v>304</v>
      </c>
      <c r="B43" s="97">
        <v>4668468000</v>
      </c>
      <c r="C43" s="97">
        <v>0</v>
      </c>
      <c r="D43" s="98">
        <v>0</v>
      </c>
      <c r="E43" s="98"/>
      <c r="F43" s="98">
        <v>0</v>
      </c>
      <c r="G43" s="98">
        <v>0</v>
      </c>
      <c r="H43" s="72">
        <f>(B43+C43)</f>
        <v>4668468000</v>
      </c>
      <c r="I43" s="72">
        <v>0</v>
      </c>
      <c r="J43" s="72">
        <v>0</v>
      </c>
      <c r="K43" s="72">
        <v>1776000790</v>
      </c>
      <c r="L43" s="72">
        <v>751462299</v>
      </c>
      <c r="M43" s="72">
        <f>294558726.26-19606900</f>
        <v>274951826.25999999</v>
      </c>
      <c r="N43" s="72">
        <v>111015156.56999999</v>
      </c>
      <c r="O43" s="72">
        <v>0</v>
      </c>
      <c r="P43" s="72">
        <v>395000000</v>
      </c>
      <c r="Q43" s="72">
        <f>938722312-131045750</f>
        <v>807676562</v>
      </c>
      <c r="R43" s="72">
        <v>0</v>
      </c>
      <c r="S43" s="72">
        <v>0</v>
      </c>
      <c r="T43" s="72">
        <v>274610127</v>
      </c>
      <c r="U43" s="75">
        <f>SUM(I43:T43)</f>
        <v>4390716760.8299999</v>
      </c>
      <c r="V43" s="58">
        <f t="shared" si="4"/>
        <v>0.94050484245152799</v>
      </c>
      <c r="W43" s="70"/>
      <c r="X43" s="70"/>
    </row>
    <row r="44" spans="1:24" x14ac:dyDescent="0.25">
      <c r="A44" s="96" t="s">
        <v>305</v>
      </c>
      <c r="B44" s="97">
        <v>0</v>
      </c>
      <c r="C44" s="97">
        <v>0</v>
      </c>
      <c r="D44" s="98">
        <v>0</v>
      </c>
      <c r="E44" s="98"/>
      <c r="F44" s="98">
        <v>0</v>
      </c>
      <c r="G44" s="98">
        <v>0</v>
      </c>
      <c r="H44" s="72">
        <f>(B44+C44)</f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89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5">
        <f>SUM(I44:T44)</f>
        <v>0</v>
      </c>
      <c r="V44" s="86">
        <f t="shared" si="4"/>
        <v>0</v>
      </c>
    </row>
    <row r="45" spans="1:24" x14ac:dyDescent="0.25">
      <c r="A45" s="96" t="s">
        <v>306</v>
      </c>
      <c r="B45" s="97">
        <v>0</v>
      </c>
      <c r="C45" s="97">
        <v>0</v>
      </c>
      <c r="D45" s="98">
        <v>0</v>
      </c>
      <c r="E45" s="98"/>
      <c r="F45" s="98">
        <v>0</v>
      </c>
      <c r="G45" s="98">
        <v>0</v>
      </c>
      <c r="H45" s="72">
        <f>(B45+C45)</f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  <c r="O45" s="89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f>SUM(I45:T45)</f>
        <v>0</v>
      </c>
      <c r="V45" s="86">
        <f t="shared" si="4"/>
        <v>0</v>
      </c>
    </row>
    <row r="46" spans="1:24" x14ac:dyDescent="0.25">
      <c r="A46" s="94" t="s">
        <v>315</v>
      </c>
      <c r="B46" s="68">
        <f>SUM(B47:B48)</f>
        <v>0</v>
      </c>
      <c r="C46" s="68">
        <f t="shared" ref="C46:U46" si="16">SUM(C47:C48)</f>
        <v>0</v>
      </c>
      <c r="D46" s="68">
        <f t="shared" si="16"/>
        <v>0</v>
      </c>
      <c r="E46" s="68">
        <f t="shared" si="16"/>
        <v>0</v>
      </c>
      <c r="F46" s="95">
        <f t="shared" si="16"/>
        <v>0</v>
      </c>
      <c r="G46" s="95">
        <f t="shared" si="16"/>
        <v>0</v>
      </c>
      <c r="H46" s="68">
        <f t="shared" si="16"/>
        <v>0</v>
      </c>
      <c r="I46" s="95">
        <f t="shared" si="16"/>
        <v>0</v>
      </c>
      <c r="J46" s="95">
        <f t="shared" si="16"/>
        <v>0</v>
      </c>
      <c r="K46" s="95">
        <f t="shared" si="16"/>
        <v>0</v>
      </c>
      <c r="L46" s="95">
        <f t="shared" si="16"/>
        <v>0</v>
      </c>
      <c r="M46" s="95">
        <f t="shared" si="16"/>
        <v>0</v>
      </c>
      <c r="N46" s="68">
        <f t="shared" si="16"/>
        <v>0</v>
      </c>
      <c r="O46" s="88">
        <f t="shared" si="16"/>
        <v>0</v>
      </c>
      <c r="P46" s="69">
        <f t="shared" si="16"/>
        <v>0</v>
      </c>
      <c r="Q46" s="69">
        <f t="shared" si="16"/>
        <v>0</v>
      </c>
      <c r="R46" s="69">
        <f t="shared" si="16"/>
        <v>0</v>
      </c>
      <c r="S46" s="69">
        <f t="shared" si="16"/>
        <v>0</v>
      </c>
      <c r="T46" s="69">
        <f t="shared" si="16"/>
        <v>0</v>
      </c>
      <c r="U46" s="68">
        <f t="shared" si="16"/>
        <v>0</v>
      </c>
      <c r="V46" s="86">
        <f t="shared" si="4"/>
        <v>0</v>
      </c>
    </row>
    <row r="47" spans="1:24" x14ac:dyDescent="0.25">
      <c r="A47" s="96" t="s">
        <v>304</v>
      </c>
      <c r="B47" s="97">
        <v>0</v>
      </c>
      <c r="C47" s="97">
        <v>0</v>
      </c>
      <c r="D47" s="98">
        <v>0</v>
      </c>
      <c r="E47" s="98"/>
      <c r="F47" s="98">
        <v>0</v>
      </c>
      <c r="G47" s="98">
        <v>0</v>
      </c>
      <c r="H47" s="72">
        <f>(B47+C47)</f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0</v>
      </c>
      <c r="O47" s="89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f>SUM(I47:T47)</f>
        <v>0</v>
      </c>
      <c r="V47" s="86">
        <f t="shared" si="4"/>
        <v>0</v>
      </c>
    </row>
    <row r="48" spans="1:24" x14ac:dyDescent="0.25">
      <c r="A48" s="96" t="s">
        <v>305</v>
      </c>
      <c r="B48" s="97">
        <v>0</v>
      </c>
      <c r="C48" s="97">
        <v>0</v>
      </c>
      <c r="D48" s="98">
        <v>0</v>
      </c>
      <c r="E48" s="98"/>
      <c r="F48" s="98">
        <v>0</v>
      </c>
      <c r="G48" s="98">
        <v>0</v>
      </c>
      <c r="H48" s="72">
        <f>(B48+C48)</f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89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5">
        <f>SUM(I48:T48)</f>
        <v>0</v>
      </c>
      <c r="V48" s="86">
        <f t="shared" si="4"/>
        <v>0</v>
      </c>
    </row>
    <row r="49" spans="1:23" x14ac:dyDescent="0.25">
      <c r="A49" s="96" t="s">
        <v>306</v>
      </c>
      <c r="B49" s="97">
        <v>0</v>
      </c>
      <c r="C49" s="97">
        <v>0</v>
      </c>
      <c r="D49" s="98">
        <v>0</v>
      </c>
      <c r="E49" s="98"/>
      <c r="F49" s="98">
        <v>0</v>
      </c>
      <c r="G49" s="98">
        <v>0</v>
      </c>
      <c r="H49" s="72">
        <f>(B49+C49)</f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  <c r="O49" s="89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f>SUM(I49:T49)</f>
        <v>0</v>
      </c>
      <c r="V49" s="86">
        <f t="shared" si="4"/>
        <v>0</v>
      </c>
    </row>
    <row r="50" spans="1:23" x14ac:dyDescent="0.25">
      <c r="A50" s="99" t="s">
        <v>316</v>
      </c>
      <c r="B50" s="100">
        <f>B51+B55+B53</f>
        <v>45229000</v>
      </c>
      <c r="C50" s="100">
        <f>C51+C55+C53</f>
        <v>0</v>
      </c>
      <c r="D50" s="100">
        <f t="shared" ref="D50:U50" si="17">D51+D55+D53</f>
        <v>0</v>
      </c>
      <c r="E50" s="100">
        <f t="shared" si="17"/>
        <v>0</v>
      </c>
      <c r="F50" s="100">
        <f t="shared" si="17"/>
        <v>0</v>
      </c>
      <c r="G50" s="100">
        <f t="shared" si="17"/>
        <v>0</v>
      </c>
      <c r="H50" s="100">
        <f t="shared" si="17"/>
        <v>45229000</v>
      </c>
      <c r="I50" s="100">
        <f t="shared" si="17"/>
        <v>0</v>
      </c>
      <c r="J50" s="100">
        <f t="shared" si="17"/>
        <v>0</v>
      </c>
      <c r="K50" s="100">
        <f t="shared" si="17"/>
        <v>0</v>
      </c>
      <c r="L50" s="100">
        <f t="shared" si="17"/>
        <v>0</v>
      </c>
      <c r="M50" s="100">
        <f t="shared" si="17"/>
        <v>0</v>
      </c>
      <c r="N50" s="100">
        <f t="shared" si="17"/>
        <v>0</v>
      </c>
      <c r="O50" s="100">
        <f t="shared" si="17"/>
        <v>0</v>
      </c>
      <c r="P50" s="100">
        <f t="shared" si="17"/>
        <v>0</v>
      </c>
      <c r="Q50" s="100">
        <f t="shared" si="17"/>
        <v>0</v>
      </c>
      <c r="R50" s="100">
        <f t="shared" si="17"/>
        <v>0</v>
      </c>
      <c r="S50" s="100">
        <f t="shared" si="17"/>
        <v>0</v>
      </c>
      <c r="T50" s="100">
        <f t="shared" si="17"/>
        <v>0</v>
      </c>
      <c r="U50" s="100">
        <f t="shared" si="17"/>
        <v>0</v>
      </c>
      <c r="V50" s="86">
        <f t="shared" si="4"/>
        <v>0</v>
      </c>
    </row>
    <row r="51" spans="1:23" x14ac:dyDescent="0.25">
      <c r="A51" s="99" t="s">
        <v>317</v>
      </c>
      <c r="B51" s="100">
        <f>SUM(B52)</f>
        <v>0</v>
      </c>
      <c r="C51" s="100">
        <f t="shared" ref="C51:U51" si="18">SUM(C52)</f>
        <v>0</v>
      </c>
      <c r="D51" s="100">
        <f t="shared" si="18"/>
        <v>0</v>
      </c>
      <c r="E51" s="100">
        <f t="shared" si="18"/>
        <v>0</v>
      </c>
      <c r="F51" s="100">
        <f t="shared" si="18"/>
        <v>0</v>
      </c>
      <c r="G51" s="100">
        <f t="shared" si="18"/>
        <v>0</v>
      </c>
      <c r="H51" s="100">
        <f t="shared" si="18"/>
        <v>0</v>
      </c>
      <c r="I51" s="100">
        <f t="shared" si="18"/>
        <v>0</v>
      </c>
      <c r="J51" s="100">
        <f t="shared" si="18"/>
        <v>0</v>
      </c>
      <c r="K51" s="100">
        <f t="shared" si="18"/>
        <v>0</v>
      </c>
      <c r="L51" s="100">
        <f t="shared" si="18"/>
        <v>0</v>
      </c>
      <c r="M51" s="100">
        <f t="shared" si="18"/>
        <v>0</v>
      </c>
      <c r="N51" s="100">
        <f t="shared" si="18"/>
        <v>0</v>
      </c>
      <c r="O51" s="100">
        <f t="shared" si="18"/>
        <v>0</v>
      </c>
      <c r="P51" s="100">
        <f t="shared" si="18"/>
        <v>0</v>
      </c>
      <c r="Q51" s="100">
        <f t="shared" si="18"/>
        <v>0</v>
      </c>
      <c r="R51" s="100">
        <f t="shared" si="18"/>
        <v>0</v>
      </c>
      <c r="S51" s="100">
        <f t="shared" si="18"/>
        <v>0</v>
      </c>
      <c r="T51" s="100">
        <f t="shared" si="18"/>
        <v>0</v>
      </c>
      <c r="U51" s="100">
        <f t="shared" si="18"/>
        <v>0</v>
      </c>
      <c r="V51" s="86">
        <f t="shared" si="4"/>
        <v>0</v>
      </c>
    </row>
    <row r="52" spans="1:23" x14ac:dyDescent="0.25">
      <c r="A52" s="101" t="s">
        <v>318</v>
      </c>
      <c r="B52" s="102">
        <v>0</v>
      </c>
      <c r="C52" s="72">
        <v>0</v>
      </c>
      <c r="D52" s="73">
        <v>0</v>
      </c>
      <c r="E52" s="73">
        <v>0</v>
      </c>
      <c r="F52" s="73">
        <v>0</v>
      </c>
      <c r="G52" s="73">
        <v>0</v>
      </c>
      <c r="H52" s="72">
        <f>(B52+C52+F52-G52)</f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  <c r="O52" s="72">
        <v>0</v>
      </c>
      <c r="P52" s="72">
        <v>0</v>
      </c>
      <c r="Q52" s="72">
        <v>0</v>
      </c>
      <c r="R52" s="72">
        <v>0</v>
      </c>
      <c r="S52" s="72">
        <v>0</v>
      </c>
      <c r="T52" s="72">
        <v>0</v>
      </c>
      <c r="U52" s="75">
        <f>SUM(I52:T52)</f>
        <v>0</v>
      </c>
      <c r="V52" s="86">
        <f t="shared" si="4"/>
        <v>0</v>
      </c>
    </row>
    <row r="53" spans="1:23" s="105" customFormat="1" x14ac:dyDescent="0.25">
      <c r="A53" s="103" t="s">
        <v>319</v>
      </c>
      <c r="B53" s="104">
        <f>SUM(B54)</f>
        <v>45229000</v>
      </c>
      <c r="C53" s="104">
        <f t="shared" ref="C53:U53" si="19">SUM(C54)</f>
        <v>0</v>
      </c>
      <c r="D53" s="104">
        <f t="shared" si="19"/>
        <v>0</v>
      </c>
      <c r="E53" s="104">
        <f t="shared" si="19"/>
        <v>0</v>
      </c>
      <c r="F53" s="104">
        <f t="shared" si="19"/>
        <v>0</v>
      </c>
      <c r="G53" s="104">
        <f t="shared" si="19"/>
        <v>0</v>
      </c>
      <c r="H53" s="104">
        <f t="shared" si="19"/>
        <v>45229000</v>
      </c>
      <c r="I53" s="104">
        <f t="shared" si="19"/>
        <v>0</v>
      </c>
      <c r="J53" s="104">
        <f t="shared" si="19"/>
        <v>0</v>
      </c>
      <c r="K53" s="104">
        <f t="shared" si="19"/>
        <v>0</v>
      </c>
      <c r="L53" s="104">
        <f t="shared" si="19"/>
        <v>0</v>
      </c>
      <c r="M53" s="104">
        <f t="shared" si="19"/>
        <v>0</v>
      </c>
      <c r="N53" s="104">
        <f t="shared" si="19"/>
        <v>0</v>
      </c>
      <c r="O53" s="104">
        <f t="shared" si="19"/>
        <v>0</v>
      </c>
      <c r="P53" s="104">
        <f t="shared" si="19"/>
        <v>0</v>
      </c>
      <c r="Q53" s="104">
        <f t="shared" si="19"/>
        <v>0</v>
      </c>
      <c r="R53" s="104">
        <f t="shared" si="19"/>
        <v>0</v>
      </c>
      <c r="S53" s="104">
        <f t="shared" si="19"/>
        <v>0</v>
      </c>
      <c r="T53" s="104">
        <f t="shared" si="19"/>
        <v>0</v>
      </c>
      <c r="U53" s="100">
        <f t="shared" si="19"/>
        <v>0</v>
      </c>
      <c r="V53" s="86">
        <f t="shared" si="4"/>
        <v>0</v>
      </c>
    </row>
    <row r="54" spans="1:23" x14ac:dyDescent="0.25">
      <c r="A54" s="106" t="s">
        <v>320</v>
      </c>
      <c r="B54" s="107">
        <v>45229000</v>
      </c>
      <c r="C54" s="75">
        <v>0</v>
      </c>
      <c r="D54" s="75">
        <v>0</v>
      </c>
      <c r="E54" s="75">
        <v>0</v>
      </c>
      <c r="F54" s="75">
        <v>0</v>
      </c>
      <c r="G54" s="75">
        <v>0</v>
      </c>
      <c r="H54" s="75">
        <f>(B54+C54+F54-G54)</f>
        <v>45229000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/>
      <c r="T54" s="75">
        <v>0</v>
      </c>
      <c r="U54" s="75">
        <f>SUM(I54:T54)</f>
        <v>0</v>
      </c>
      <c r="V54" s="86">
        <f t="shared" si="4"/>
        <v>0</v>
      </c>
    </row>
    <row r="55" spans="1:23" x14ac:dyDescent="0.25">
      <c r="A55" s="108" t="s">
        <v>321</v>
      </c>
      <c r="B55" s="109">
        <f>SUM(B56:B57)</f>
        <v>0</v>
      </c>
      <c r="C55" s="109">
        <f t="shared" ref="C55:H55" si="20">SUM(C56:C57)</f>
        <v>0</v>
      </c>
      <c r="D55" s="109">
        <f t="shared" si="20"/>
        <v>0</v>
      </c>
      <c r="E55" s="109">
        <f t="shared" si="20"/>
        <v>0</v>
      </c>
      <c r="F55" s="109">
        <f t="shared" si="20"/>
        <v>0</v>
      </c>
      <c r="G55" s="109">
        <f t="shared" si="20"/>
        <v>0</v>
      </c>
      <c r="H55" s="109">
        <f t="shared" si="20"/>
        <v>0</v>
      </c>
      <c r="I55" s="110">
        <f>SUM(I56:I57)</f>
        <v>0</v>
      </c>
      <c r="J55" s="110">
        <f t="shared" ref="J55:T55" si="21">SUM(J56:J57)</f>
        <v>0</v>
      </c>
      <c r="K55" s="110">
        <f t="shared" si="21"/>
        <v>0</v>
      </c>
      <c r="L55" s="110">
        <f t="shared" si="21"/>
        <v>0</v>
      </c>
      <c r="M55" s="110">
        <f t="shared" si="21"/>
        <v>0</v>
      </c>
      <c r="N55" s="110">
        <f t="shared" si="21"/>
        <v>0</v>
      </c>
      <c r="O55" s="111">
        <f t="shared" si="21"/>
        <v>0</v>
      </c>
      <c r="P55" s="112">
        <f t="shared" si="21"/>
        <v>0</v>
      </c>
      <c r="Q55" s="112">
        <f t="shared" si="21"/>
        <v>0</v>
      </c>
      <c r="R55" s="112">
        <f t="shared" si="21"/>
        <v>0</v>
      </c>
      <c r="S55" s="112">
        <f t="shared" si="21"/>
        <v>0</v>
      </c>
      <c r="T55" s="112">
        <f t="shared" si="21"/>
        <v>0</v>
      </c>
      <c r="U55" s="113">
        <f>SUM(U56+U57)</f>
        <v>0</v>
      </c>
      <c r="V55" s="86">
        <f t="shared" si="4"/>
        <v>0</v>
      </c>
    </row>
    <row r="56" spans="1:23" x14ac:dyDescent="0.25">
      <c r="A56" s="101" t="s">
        <v>304</v>
      </c>
      <c r="B56" s="102">
        <v>0</v>
      </c>
      <c r="C56" s="72">
        <v>0</v>
      </c>
      <c r="D56" s="73">
        <v>0</v>
      </c>
      <c r="E56" s="73">
        <v>0</v>
      </c>
      <c r="F56" s="73">
        <v>0</v>
      </c>
      <c r="G56" s="73">
        <v>0</v>
      </c>
      <c r="H56" s="72">
        <f>(B56+C56+F56-G56)</f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  <c r="R56" s="72">
        <v>0</v>
      </c>
      <c r="S56" s="72">
        <v>0</v>
      </c>
      <c r="T56" s="72">
        <v>0</v>
      </c>
      <c r="U56" s="75">
        <f>SUM(I56:T56)</f>
        <v>0</v>
      </c>
      <c r="V56" s="86">
        <f t="shared" si="4"/>
        <v>0</v>
      </c>
    </row>
    <row r="57" spans="1:23" x14ac:dyDescent="0.25">
      <c r="A57" s="101" t="s">
        <v>305</v>
      </c>
      <c r="B57" s="114">
        <v>0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2">
        <f>(B57+C57)</f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>
        <v>0</v>
      </c>
      <c r="O57" s="72">
        <v>0</v>
      </c>
      <c r="P57" s="72">
        <v>0</v>
      </c>
      <c r="Q57" s="72">
        <v>0</v>
      </c>
      <c r="R57" s="72">
        <v>0</v>
      </c>
      <c r="S57" s="72">
        <v>0</v>
      </c>
      <c r="T57" s="72">
        <v>0</v>
      </c>
      <c r="U57" s="75">
        <f>SUM(I57:T57)</f>
        <v>0</v>
      </c>
      <c r="V57" s="86">
        <f t="shared" si="4"/>
        <v>0</v>
      </c>
    </row>
    <row r="58" spans="1:23" x14ac:dyDescent="0.25">
      <c r="A58" s="65" t="s">
        <v>322</v>
      </c>
      <c r="B58" s="111">
        <f>SUM(B59:B61)</f>
        <v>26623498</v>
      </c>
      <c r="C58" s="111">
        <f>SUM(C59:C61)</f>
        <v>12178012900.398001</v>
      </c>
      <c r="D58" s="111">
        <f>SUM(D59:D61)+D68</f>
        <v>0</v>
      </c>
      <c r="E58" s="111">
        <f>SUM(E59:E61)+E68</f>
        <v>0</v>
      </c>
      <c r="F58" s="111">
        <f>SUM(F59:F61)+F68</f>
        <v>0</v>
      </c>
      <c r="G58" s="111">
        <f>SUM(G59:G61)+G68</f>
        <v>0</v>
      </c>
      <c r="H58" s="111">
        <f>SUM(H59:H61)</f>
        <v>12204636398.398001</v>
      </c>
      <c r="I58" s="111">
        <f>SUM(I59:I61)</f>
        <v>3695774642.6300001</v>
      </c>
      <c r="J58" s="111">
        <f>SUM(J59:J61)</f>
        <v>6841078.8700000001</v>
      </c>
      <c r="K58" s="111">
        <f>SUM(K59:K61)</f>
        <v>26259514.899999999</v>
      </c>
      <c r="L58" s="111">
        <f t="shared" ref="L58:T58" si="22">SUM(L59:L61)</f>
        <v>22899648.600000001</v>
      </c>
      <c r="M58" s="111">
        <f t="shared" si="22"/>
        <v>51994046.349999994</v>
      </c>
      <c r="N58" s="111">
        <f t="shared" si="22"/>
        <v>37326817.930000007</v>
      </c>
      <c r="O58" s="111">
        <f t="shared" si="22"/>
        <v>45325444.409999996</v>
      </c>
      <c r="P58" s="111">
        <f t="shared" si="22"/>
        <v>778924866.93999994</v>
      </c>
      <c r="Q58" s="111">
        <f t="shared" si="22"/>
        <v>3304746398.46</v>
      </c>
      <c r="R58" s="111">
        <f t="shared" si="22"/>
        <v>46049085.109999999</v>
      </c>
      <c r="S58" s="111">
        <f t="shared" si="22"/>
        <v>339685076.81999999</v>
      </c>
      <c r="T58" s="111">
        <f t="shared" si="22"/>
        <v>1669176680.98</v>
      </c>
      <c r="U58" s="111">
        <f>SUM(U59:U61)</f>
        <v>10025003302.000002</v>
      </c>
      <c r="V58" s="58">
        <f t="shared" si="4"/>
        <v>0.82140941972805503</v>
      </c>
      <c r="W58" s="132"/>
    </row>
    <row r="59" spans="1:23" x14ac:dyDescent="0.25">
      <c r="A59" s="115" t="s">
        <v>323</v>
      </c>
      <c r="B59" s="116">
        <v>26623498</v>
      </c>
      <c r="C59" s="72">
        <v>0</v>
      </c>
      <c r="D59" s="73">
        <v>0</v>
      </c>
      <c r="E59" s="73">
        <v>0</v>
      </c>
      <c r="F59" s="73">
        <v>0</v>
      </c>
      <c r="G59" s="73">
        <v>0</v>
      </c>
      <c r="H59" s="72">
        <f>(B59+C59)</f>
        <v>26623498</v>
      </c>
      <c r="I59" s="72">
        <v>8047372.6300000008</v>
      </c>
      <c r="J59" s="72">
        <f>6814911.75+26167.12</f>
        <v>6841078.8700000001</v>
      </c>
      <c r="K59" s="72">
        <f>25328280.27+931234.63</f>
        <v>26259514.899999999</v>
      </c>
      <c r="L59" s="72">
        <f>22288623.59+611025.01</f>
        <v>22899648.600000001</v>
      </c>
      <c r="M59" s="72">
        <f>31543089.63+844056.72</f>
        <v>32387146.349999998</v>
      </c>
      <c r="N59" s="72">
        <f>35104567.25+2222250.68000001</f>
        <v>37326817.930000007</v>
      </c>
      <c r="O59" s="72">
        <f>45232633.41+92811</f>
        <v>45325444.409999996</v>
      </c>
      <c r="P59" s="72">
        <f>2665.81+43034006.31</f>
        <v>43036672.120000005</v>
      </c>
      <c r="Q59" s="72">
        <v>49112470.350000009</v>
      </c>
      <c r="R59" s="72">
        <v>46049085.109999999</v>
      </c>
      <c r="S59" s="72">
        <v>38133564.819999993</v>
      </c>
      <c r="T59" s="72">
        <f>25936703.57+411947.41</f>
        <v>26348650.98</v>
      </c>
      <c r="U59" s="75">
        <f>SUM(I59:T59)</f>
        <v>381767467.07000005</v>
      </c>
      <c r="V59" s="86">
        <f t="shared" si="4"/>
        <v>14.339493145115643</v>
      </c>
      <c r="W59" s="70"/>
    </row>
    <row r="60" spans="1:23" x14ac:dyDescent="0.25">
      <c r="A60" s="98" t="s">
        <v>324</v>
      </c>
      <c r="B60" s="75">
        <v>0</v>
      </c>
      <c r="C60" s="75">
        <v>136755967.03</v>
      </c>
      <c r="D60" s="73">
        <v>0</v>
      </c>
      <c r="E60" s="73">
        <v>0</v>
      </c>
      <c r="F60" s="73">
        <v>0</v>
      </c>
      <c r="G60" s="73">
        <v>0</v>
      </c>
      <c r="H60" s="72">
        <f>(B60+C60)</f>
        <v>136755967.03</v>
      </c>
      <c r="I60" s="72">
        <v>0</v>
      </c>
      <c r="J60" s="72">
        <v>0</v>
      </c>
      <c r="K60" s="72">
        <v>0</v>
      </c>
      <c r="L60" s="72">
        <v>0</v>
      </c>
      <c r="M60" s="72">
        <v>0</v>
      </c>
      <c r="N60" s="72">
        <v>0</v>
      </c>
      <c r="O60" s="89">
        <v>0</v>
      </c>
      <c r="P60" s="75">
        <v>136755967.03</v>
      </c>
      <c r="Q60" s="75">
        <v>0</v>
      </c>
      <c r="R60" s="75">
        <v>0</v>
      </c>
      <c r="S60" s="75">
        <v>0</v>
      </c>
      <c r="T60" s="75">
        <v>0</v>
      </c>
      <c r="U60" s="75">
        <f>SUM(I60:T60)</f>
        <v>136755967.03</v>
      </c>
      <c r="V60" s="86">
        <f t="shared" si="4"/>
        <v>1</v>
      </c>
    </row>
    <row r="61" spans="1:23" x14ac:dyDescent="0.25">
      <c r="A61" s="117" t="s">
        <v>325</v>
      </c>
      <c r="B61" s="118">
        <f t="shared" ref="B61:G61" si="23">SUM(B62:B65)</f>
        <v>0</v>
      </c>
      <c r="C61" s="111">
        <f t="shared" si="23"/>
        <v>12041256933.368</v>
      </c>
      <c r="D61" s="118">
        <f t="shared" si="23"/>
        <v>0</v>
      </c>
      <c r="E61" s="118">
        <f t="shared" si="23"/>
        <v>0</v>
      </c>
      <c r="F61" s="118">
        <f t="shared" si="23"/>
        <v>0</v>
      </c>
      <c r="G61" s="118">
        <f t="shared" si="23"/>
        <v>0</v>
      </c>
      <c r="H61" s="53">
        <f>(B61+C61+F61-G61)</f>
        <v>12041256933.368</v>
      </c>
      <c r="I61" s="87">
        <f t="shared" ref="I61:U61" si="24">SUM(I62:I65)</f>
        <v>3687727270</v>
      </c>
      <c r="J61" s="72">
        <f t="shared" si="24"/>
        <v>0</v>
      </c>
      <c r="K61" s="72">
        <f t="shared" si="24"/>
        <v>0</v>
      </c>
      <c r="L61" s="72">
        <f t="shared" si="24"/>
        <v>0</v>
      </c>
      <c r="M61" s="72">
        <f t="shared" si="24"/>
        <v>19606900</v>
      </c>
      <c r="N61" s="72">
        <f t="shared" si="24"/>
        <v>0</v>
      </c>
      <c r="O61" s="72">
        <f t="shared" si="24"/>
        <v>0</v>
      </c>
      <c r="P61" s="72">
        <f t="shared" si="24"/>
        <v>599132227.78999996</v>
      </c>
      <c r="Q61" s="72">
        <f t="shared" si="24"/>
        <v>3255633928.1100001</v>
      </c>
      <c r="R61" s="72">
        <f t="shared" si="24"/>
        <v>0</v>
      </c>
      <c r="S61" s="72">
        <f t="shared" si="24"/>
        <v>301551512</v>
      </c>
      <c r="T61" s="72">
        <f t="shared" si="24"/>
        <v>1642828030</v>
      </c>
      <c r="U61" s="53">
        <f t="shared" si="24"/>
        <v>9506479867.9000015</v>
      </c>
      <c r="V61" s="86">
        <f t="shared" si="4"/>
        <v>0.78949231965611677</v>
      </c>
    </row>
    <row r="62" spans="1:23" x14ac:dyDescent="0.25">
      <c r="A62" s="98" t="s">
        <v>313</v>
      </c>
      <c r="B62" s="119">
        <v>0</v>
      </c>
      <c r="C62" s="119">
        <v>127152001.43000001</v>
      </c>
      <c r="D62" s="119">
        <v>0</v>
      </c>
      <c r="E62" s="119">
        <v>0</v>
      </c>
      <c r="F62" s="119">
        <v>0</v>
      </c>
      <c r="G62" s="119">
        <v>0</v>
      </c>
      <c r="H62" s="72">
        <f t="shared" ref="H62:H65" si="25">(B62+C62+F62-G62)</f>
        <v>127152001.43000001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0</v>
      </c>
      <c r="T62" s="72">
        <v>0</v>
      </c>
      <c r="U62" s="75">
        <f>SUM(I62:T62)</f>
        <v>0</v>
      </c>
      <c r="V62" s="86">
        <f t="shared" si="4"/>
        <v>0</v>
      </c>
    </row>
    <row r="63" spans="1:23" x14ac:dyDescent="0.25">
      <c r="A63" s="120" t="s">
        <v>327</v>
      </c>
      <c r="B63" s="116">
        <v>0</v>
      </c>
      <c r="C63" s="116">
        <f>453394579.53+3211594181.808</f>
        <v>3664988761.3380003</v>
      </c>
      <c r="D63" s="116">
        <v>0</v>
      </c>
      <c r="E63" s="116">
        <v>0</v>
      </c>
      <c r="F63" s="116">
        <v>0</v>
      </c>
      <c r="G63" s="116">
        <v>0</v>
      </c>
      <c r="H63" s="72">
        <f t="shared" si="25"/>
        <v>3664988761.3380003</v>
      </c>
      <c r="I63" s="92">
        <v>0</v>
      </c>
      <c r="J63" s="92">
        <v>0</v>
      </c>
      <c r="K63" s="92">
        <v>0</v>
      </c>
      <c r="L63" s="92">
        <v>0</v>
      </c>
      <c r="M63" s="92">
        <v>19606900</v>
      </c>
      <c r="N63" s="92">
        <v>0</v>
      </c>
      <c r="O63" s="92">
        <v>0</v>
      </c>
      <c r="P63" s="72">
        <v>453394579.52999997</v>
      </c>
      <c r="Q63" s="92">
        <v>131045750</v>
      </c>
      <c r="R63" s="92">
        <v>0</v>
      </c>
      <c r="S63" s="92">
        <v>301551512</v>
      </c>
      <c r="T63" s="75">
        <v>409230328</v>
      </c>
      <c r="U63" s="75">
        <f>SUM(I63:T63)</f>
        <v>1314829069.53</v>
      </c>
      <c r="V63" s="86">
        <f t="shared" si="4"/>
        <v>0.35875391581009575</v>
      </c>
    </row>
    <row r="64" spans="1:23" x14ac:dyDescent="0.25">
      <c r="A64" s="120" t="s">
        <v>328</v>
      </c>
      <c r="B64" s="116">
        <v>0</v>
      </c>
      <c r="C64" s="92">
        <f>1000000000+40707175.86+1291063074.23</f>
        <v>2331770250.0900002</v>
      </c>
      <c r="D64" s="116">
        <v>0</v>
      </c>
      <c r="E64" s="116">
        <v>0</v>
      </c>
      <c r="F64" s="116">
        <v>0</v>
      </c>
      <c r="G64" s="116">
        <v>0</v>
      </c>
      <c r="H64" s="92">
        <f t="shared" si="25"/>
        <v>2331770250.0900002</v>
      </c>
      <c r="I64" s="92">
        <v>1000000000</v>
      </c>
      <c r="J64" s="92">
        <v>0</v>
      </c>
      <c r="K64" s="92">
        <v>0</v>
      </c>
      <c r="L64" s="92">
        <v>0</v>
      </c>
      <c r="M64" s="92">
        <v>0</v>
      </c>
      <c r="N64" s="92">
        <v>0</v>
      </c>
      <c r="O64" s="92">
        <v>0</v>
      </c>
      <c r="P64" s="92">
        <v>40707175.859999999</v>
      </c>
      <c r="Q64" s="92">
        <v>0</v>
      </c>
      <c r="R64" s="92">
        <v>0</v>
      </c>
      <c r="S64" s="92">
        <v>0</v>
      </c>
      <c r="T64" s="92">
        <v>1233597702</v>
      </c>
      <c r="U64" s="75">
        <f>SUM(I64:T64)</f>
        <v>2274304877.8600001</v>
      </c>
      <c r="V64" s="121">
        <f t="shared" si="4"/>
        <v>0.97535547413910872</v>
      </c>
      <c r="W64" s="70">
        <f>+U64+U34</f>
        <v>5623101594.8600006</v>
      </c>
    </row>
    <row r="65" spans="1:24" x14ac:dyDescent="0.25">
      <c r="A65" s="98" t="s">
        <v>329</v>
      </c>
      <c r="B65" s="75">
        <v>0</v>
      </c>
      <c r="C65" s="75">
        <f>2687727270+105030472.4+3124588178.11</f>
        <v>5917345920.5100002</v>
      </c>
      <c r="D65" s="75">
        <v>0</v>
      </c>
      <c r="E65" s="75">
        <v>0</v>
      </c>
      <c r="F65" s="75">
        <v>0</v>
      </c>
      <c r="G65" s="75">
        <v>0</v>
      </c>
      <c r="H65" s="75">
        <f t="shared" si="25"/>
        <v>5917345920.5100002</v>
      </c>
      <c r="I65" s="75">
        <v>2687727270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105030472.40000001</v>
      </c>
      <c r="Q65" s="75">
        <v>3124588178.1100001</v>
      </c>
      <c r="R65" s="75">
        <v>0</v>
      </c>
      <c r="S65" s="75">
        <v>0</v>
      </c>
      <c r="T65" s="75">
        <v>0</v>
      </c>
      <c r="U65" s="75">
        <f>SUM(I65:T65)</f>
        <v>5917345920.5100002</v>
      </c>
      <c r="V65" s="86">
        <f t="shared" si="4"/>
        <v>1</v>
      </c>
      <c r="W65" s="70"/>
      <c r="X65" s="70"/>
    </row>
    <row r="66" spans="1:24" x14ac:dyDescent="0.25">
      <c r="A66" s="122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4"/>
      <c r="Q66" s="123"/>
      <c r="R66" s="123"/>
      <c r="S66" s="123"/>
      <c r="T66" s="123"/>
      <c r="U66" s="123"/>
      <c r="V66" s="125"/>
    </row>
    <row r="67" spans="1:24" x14ac:dyDescent="0.25">
      <c r="A67" s="122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5"/>
    </row>
    <row r="68" spans="1:24" x14ac:dyDescent="0.25">
      <c r="A68" s="117" t="s">
        <v>330</v>
      </c>
      <c r="B68" s="68">
        <f>SUM(B69:B73)</f>
        <v>0</v>
      </c>
      <c r="C68" s="68">
        <f>SUM(C69:C73)</f>
        <v>2026064745.0900002</v>
      </c>
      <c r="D68" s="68">
        <f t="shared" ref="D68:U68" si="26">SUM(D69:D73)</f>
        <v>0</v>
      </c>
      <c r="E68" s="68">
        <f t="shared" si="26"/>
        <v>0</v>
      </c>
      <c r="F68" s="68">
        <f t="shared" si="26"/>
        <v>0</v>
      </c>
      <c r="G68" s="68">
        <f t="shared" si="26"/>
        <v>0</v>
      </c>
      <c r="H68" s="68">
        <f t="shared" si="26"/>
        <v>2026064745.0900002</v>
      </c>
      <c r="I68" s="68">
        <f t="shared" si="26"/>
        <v>2026064745.0900002</v>
      </c>
      <c r="J68" s="68">
        <f t="shared" si="26"/>
        <v>0</v>
      </c>
      <c r="K68" s="68">
        <f t="shared" si="26"/>
        <v>0</v>
      </c>
      <c r="L68" s="68">
        <f t="shared" si="26"/>
        <v>0</v>
      </c>
      <c r="M68" s="68">
        <f t="shared" si="26"/>
        <v>0</v>
      </c>
      <c r="N68" s="68">
        <f t="shared" si="26"/>
        <v>0</v>
      </c>
      <c r="O68" s="68">
        <f t="shared" si="26"/>
        <v>0</v>
      </c>
      <c r="P68" s="68">
        <f t="shared" si="26"/>
        <v>0</v>
      </c>
      <c r="Q68" s="68">
        <f t="shared" si="26"/>
        <v>0</v>
      </c>
      <c r="R68" s="68">
        <f t="shared" si="26"/>
        <v>0</v>
      </c>
      <c r="S68" s="68">
        <f t="shared" si="26"/>
        <v>0</v>
      </c>
      <c r="T68" s="68">
        <f t="shared" si="26"/>
        <v>0</v>
      </c>
      <c r="U68" s="68">
        <f t="shared" si="26"/>
        <v>2026064745.0900002</v>
      </c>
      <c r="V68" s="58">
        <f t="shared" ref="V68:V73" si="27">IF(H68=0,0,U68/H68)</f>
        <v>1</v>
      </c>
    </row>
    <row r="69" spans="1:24" x14ac:dyDescent="0.25">
      <c r="A69" s="126" t="s">
        <v>326</v>
      </c>
      <c r="B69" s="127">
        <v>0</v>
      </c>
      <c r="C69" s="128">
        <v>4583038</v>
      </c>
      <c r="D69" s="129">
        <v>0</v>
      </c>
      <c r="E69" s="129">
        <v>0</v>
      </c>
      <c r="F69" s="129">
        <v>0</v>
      </c>
      <c r="G69" s="129">
        <v>0</v>
      </c>
      <c r="H69" s="130">
        <f t="shared" ref="H69:H73" si="28">(B69+C69+F69-G69)</f>
        <v>4583038</v>
      </c>
      <c r="I69" s="128">
        <v>4583038</v>
      </c>
      <c r="J69" s="130">
        <v>0</v>
      </c>
      <c r="K69" s="130">
        <v>0</v>
      </c>
      <c r="L69" s="130">
        <v>0</v>
      </c>
      <c r="M69" s="130">
        <v>0</v>
      </c>
      <c r="N69" s="130">
        <v>0</v>
      </c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27">
        <f t="shared" ref="U69:U73" si="29">SUM(I69:T69)</f>
        <v>4583038</v>
      </c>
      <c r="V69" s="131">
        <f t="shared" si="27"/>
        <v>1</v>
      </c>
    </row>
    <row r="70" spans="1:24" x14ac:dyDescent="0.25">
      <c r="A70" s="98" t="s">
        <v>331</v>
      </c>
      <c r="B70" s="75">
        <v>0</v>
      </c>
      <c r="C70" s="119">
        <v>92772606</v>
      </c>
      <c r="D70" s="73">
        <v>0</v>
      </c>
      <c r="E70" s="73">
        <v>0</v>
      </c>
      <c r="F70" s="73">
        <v>0</v>
      </c>
      <c r="G70" s="73">
        <v>0</v>
      </c>
      <c r="H70" s="72">
        <f t="shared" si="28"/>
        <v>92772606</v>
      </c>
      <c r="I70" s="119">
        <v>92772606</v>
      </c>
      <c r="J70" s="72">
        <v>0</v>
      </c>
      <c r="K70" s="72">
        <v>0</v>
      </c>
      <c r="L70" s="72">
        <v>0</v>
      </c>
      <c r="M70" s="72">
        <v>0</v>
      </c>
      <c r="N70" s="72">
        <v>0</v>
      </c>
      <c r="O70" s="72">
        <v>0</v>
      </c>
      <c r="P70" s="72">
        <v>0</v>
      </c>
      <c r="Q70" s="72">
        <v>0</v>
      </c>
      <c r="R70" s="72">
        <v>0</v>
      </c>
      <c r="S70" s="72">
        <v>0</v>
      </c>
      <c r="T70" s="72">
        <v>0</v>
      </c>
      <c r="U70" s="75">
        <f t="shared" si="29"/>
        <v>92772606</v>
      </c>
      <c r="V70" s="86">
        <f t="shared" si="27"/>
        <v>1</v>
      </c>
    </row>
    <row r="71" spans="1:24" x14ac:dyDescent="0.25">
      <c r="A71" s="98" t="s">
        <v>332</v>
      </c>
      <c r="B71" s="75">
        <v>0</v>
      </c>
      <c r="C71" s="119">
        <v>359114467.57999998</v>
      </c>
      <c r="D71" s="73">
        <v>0</v>
      </c>
      <c r="E71" s="73">
        <v>0</v>
      </c>
      <c r="F71" s="73">
        <v>0</v>
      </c>
      <c r="G71" s="73">
        <v>0</v>
      </c>
      <c r="H71" s="72">
        <f t="shared" si="28"/>
        <v>359114467.57999998</v>
      </c>
      <c r="I71" s="119">
        <v>359114467.57999998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2">
        <v>0</v>
      </c>
      <c r="T71" s="72">
        <v>0</v>
      </c>
      <c r="U71" s="75">
        <f t="shared" si="29"/>
        <v>359114467.57999998</v>
      </c>
      <c r="V71" s="86">
        <f t="shared" si="27"/>
        <v>1</v>
      </c>
    </row>
    <row r="72" spans="1:24" x14ac:dyDescent="0.25">
      <c r="A72" s="98" t="s">
        <v>333</v>
      </c>
      <c r="B72" s="75">
        <v>0</v>
      </c>
      <c r="C72" s="119">
        <v>908596921.65999997</v>
      </c>
      <c r="D72" s="73">
        <v>0</v>
      </c>
      <c r="E72" s="73">
        <v>0</v>
      </c>
      <c r="F72" s="73">
        <v>0</v>
      </c>
      <c r="G72" s="73">
        <v>0</v>
      </c>
      <c r="H72" s="72">
        <f t="shared" si="28"/>
        <v>908596921.65999997</v>
      </c>
      <c r="I72" s="119">
        <v>908596921.65999997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>
        <v>0</v>
      </c>
      <c r="R72" s="72">
        <v>0</v>
      </c>
      <c r="S72" s="72">
        <v>0</v>
      </c>
      <c r="T72" s="72">
        <v>0</v>
      </c>
      <c r="U72" s="75">
        <f t="shared" si="29"/>
        <v>908596921.65999997</v>
      </c>
      <c r="V72" s="86">
        <f t="shared" si="27"/>
        <v>1</v>
      </c>
    </row>
    <row r="73" spans="1:24" x14ac:dyDescent="0.25">
      <c r="A73" s="98" t="s">
        <v>329</v>
      </c>
      <c r="B73" s="75">
        <v>0</v>
      </c>
      <c r="C73" s="119">
        <v>660997711.85000002</v>
      </c>
      <c r="D73" s="73">
        <v>0</v>
      </c>
      <c r="E73" s="73">
        <v>0</v>
      </c>
      <c r="F73" s="73">
        <v>0</v>
      </c>
      <c r="G73" s="73">
        <v>0</v>
      </c>
      <c r="H73" s="72">
        <f t="shared" si="28"/>
        <v>660997711.85000002</v>
      </c>
      <c r="I73" s="119">
        <v>660997711.85000002</v>
      </c>
      <c r="J73" s="72">
        <v>0</v>
      </c>
      <c r="K73" s="72">
        <v>0</v>
      </c>
      <c r="L73" s="72">
        <v>0</v>
      </c>
      <c r="M73" s="72">
        <v>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0</v>
      </c>
      <c r="T73" s="72">
        <v>0</v>
      </c>
      <c r="U73" s="75">
        <f t="shared" si="29"/>
        <v>660997711.85000002</v>
      </c>
      <c r="V73" s="86">
        <f t="shared" si="27"/>
        <v>1</v>
      </c>
    </row>
    <row r="75" spans="1:24" x14ac:dyDescent="0.25">
      <c r="C75" s="70"/>
      <c r="H75" s="70"/>
      <c r="L75" s="70"/>
      <c r="N75" s="70"/>
    </row>
    <row r="76" spans="1:24" x14ac:dyDescent="0.25">
      <c r="A76" s="6" t="s">
        <v>216</v>
      </c>
      <c r="B76" s="7"/>
      <c r="L76" s="124"/>
      <c r="M76" s="70"/>
      <c r="N76" s="123"/>
      <c r="R76" s="70"/>
    </row>
    <row r="77" spans="1:24" x14ac:dyDescent="0.25">
      <c r="L77" s="70"/>
    </row>
    <row r="78" spans="1:24" x14ac:dyDescent="0.25">
      <c r="I78" s="34"/>
      <c r="M78" s="70"/>
      <c r="N78" s="70"/>
    </row>
    <row r="79" spans="1:24" x14ac:dyDescent="0.25">
      <c r="I79" s="34"/>
    </row>
    <row r="80" spans="1:24" x14ac:dyDescent="0.25">
      <c r="I80" s="34"/>
    </row>
  </sheetData>
  <sheetProtection algorithmName="SHA-512" hashValue="YhFagkllbEH2PbtVeYJHIc6LswGe12yptq8yKlya50w/C/13vbAzyqRVV79+7n/eJABtvyKqE1UV41vNHrF8yg==" saltValue="peUOmLg08iPyW3LQ5QsFyw==" spinCount="100000" sheet="1" objects="1" scenarios="1"/>
  <mergeCells count="22">
    <mergeCell ref="S5:S6"/>
    <mergeCell ref="T5:T6"/>
    <mergeCell ref="U5:U6"/>
    <mergeCell ref="V5:V6"/>
    <mergeCell ref="M5:M6"/>
    <mergeCell ref="N5:N6"/>
    <mergeCell ref="O5:O6"/>
    <mergeCell ref="P5:P6"/>
    <mergeCell ref="Q5:Q6"/>
    <mergeCell ref="R5:R6"/>
    <mergeCell ref="L5:L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gastos </vt:lpstr>
      <vt:lpstr>Ejecucion ingresos</vt:lpstr>
      <vt:lpstr>'ejecucion gastos '!Área_de_impresión</vt:lpstr>
      <vt:lpstr>'ejecucion gastos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PRESUPUESTO2121</dc:creator>
  <cp:keywords/>
  <dc:description/>
  <cp:lastModifiedBy>Oficina de Sistemas</cp:lastModifiedBy>
  <cp:revision/>
  <cp:lastPrinted>2024-06-28T20:09:43Z</cp:lastPrinted>
  <dcterms:created xsi:type="dcterms:W3CDTF">2022-02-18T00:39:36Z</dcterms:created>
  <dcterms:modified xsi:type="dcterms:W3CDTF">2024-07-01T21:14:24Z</dcterms:modified>
  <cp:category/>
  <cp:contentStatus/>
</cp:coreProperties>
</file>