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D:\14. EMPALME\COMITE INSTITUCIONAL 1-25-2024\"/>
    </mc:Choice>
  </mc:AlternateContent>
  <xr:revisionPtr revIDLastSave="0" documentId="8_{619B0233-F3E8-4C83-8796-4D324FE53DDD}" xr6:coauthVersionLast="47" xr6:coauthVersionMax="47" xr10:uidLastSave="{00000000-0000-0000-0000-000000000000}"/>
  <bookViews>
    <workbookView xWindow="-120" yWindow="-120" windowWidth="20730" windowHeight="11040" activeTab="1" xr2:uid="{00000000-000D-0000-FFFF-FFFF00000000}"/>
  </bookViews>
  <sheets>
    <sheet name="INSTRUCTIVO" sheetId="3" r:id="rId1"/>
    <sheet name="PLAN DE ACCIÓN (2)" sheetId="4" r:id="rId2"/>
    <sheet name="Hoja1" sheetId="5" r:id="rId3"/>
    <sheet name="CONTROL DE CAMBIOS " sheetId="2" r:id="rId4"/>
  </sheets>
  <definedNames>
    <definedName name="_Hlk115349177" localSheetId="3">'CONTROL DE CAMBIOS '!#REF!</definedName>
    <definedName name="_Hlk115349247" localSheetId="3">'CONTROL DE CAMBIOS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3" i="4" l="1"/>
  <c r="U100" i="4"/>
  <c r="J71" i="4"/>
  <c r="AH100" i="4" l="1"/>
  <c r="AE100" i="4"/>
  <c r="AH107" i="4"/>
  <c r="BM31" i="4"/>
  <c r="AH31" i="4"/>
  <c r="AH35" i="4"/>
  <c r="BM35" i="4"/>
  <c r="BN35" i="4" s="1"/>
  <c r="BM83" i="4"/>
  <c r="AH83" i="4"/>
  <c r="AH81" i="4"/>
  <c r="BM81" i="4"/>
  <c r="AJ79" i="4"/>
  <c r="AI71" i="4"/>
  <c r="AI79" i="4"/>
  <c r="BN90" i="4"/>
  <c r="AI35" i="4" l="1"/>
  <c r="AH72" i="4" l="1"/>
  <c r="AI72" i="4" s="1"/>
  <c r="BM72" i="4"/>
  <c r="BN72" i="4" s="1"/>
  <c r="BM68" i="4" l="1"/>
  <c r="AH68" i="4"/>
  <c r="BM67" i="4"/>
  <c r="BM60" i="4"/>
  <c r="AH67" i="4"/>
  <c r="AH60" i="4"/>
  <c r="BJ72" i="4"/>
  <c r="BM57" i="4"/>
  <c r="BM54" i="4"/>
  <c r="BM47" i="4"/>
  <c r="AH54" i="4"/>
  <c r="AH47" i="4"/>
  <c r="AH57" i="4"/>
  <c r="BM43" i="4"/>
  <c r="BN43" i="4" s="1"/>
  <c r="AH43" i="4"/>
  <c r="AI43" i="4" s="1"/>
  <c r="AH33" i="4"/>
  <c r="BM33" i="4"/>
  <c r="AH30" i="4"/>
  <c r="BM30" i="4"/>
  <c r="BM26" i="4"/>
  <c r="BN26" i="4" s="1"/>
  <c r="AH26" i="4"/>
  <c r="AH86" i="4"/>
  <c r="BM86" i="4"/>
  <c r="AJ91" i="4"/>
  <c r="AJ70" i="4"/>
  <c r="AJ59" i="4"/>
  <c r="AJ25" i="4"/>
  <c r="AI91" i="4"/>
  <c r="AI70" i="4"/>
  <c r="AI59" i="4"/>
  <c r="AI25" i="4"/>
  <c r="AH78" i="4"/>
  <c r="AI78" i="4" s="1"/>
  <c r="AH76" i="4"/>
  <c r="AH19" i="4"/>
  <c r="AH9" i="4"/>
  <c r="BO26" i="4"/>
  <c r="BO34" i="4" s="1"/>
  <c r="BO81" i="4"/>
  <c r="BO91" i="4" s="1"/>
  <c r="BO60" i="4"/>
  <c r="BO70" i="4" s="1"/>
  <c r="BO59" i="4"/>
  <c r="BO47" i="4"/>
  <c r="BO35" i="4"/>
  <c r="BO46" i="4" s="1"/>
  <c r="BO9" i="4"/>
  <c r="BO25" i="4" s="1"/>
  <c r="BN70" i="4"/>
  <c r="BN59" i="4"/>
  <c r="BN25" i="4"/>
  <c r="BM78" i="4"/>
  <c r="BN78" i="4" s="1"/>
  <c r="BM76" i="4"/>
  <c r="BN76" i="4" s="1"/>
  <c r="BM19" i="4"/>
  <c r="BM9" i="4"/>
  <c r="DL91" i="4"/>
  <c r="DK91" i="4"/>
  <c r="DM81" i="4"/>
  <c r="DL80" i="4"/>
  <c r="DK80" i="4"/>
  <c r="DM71" i="4"/>
  <c r="DL70" i="4"/>
  <c r="DK70" i="4"/>
  <c r="DM60" i="4"/>
  <c r="DL59" i="4"/>
  <c r="DK59" i="4"/>
  <c r="DM47" i="4"/>
  <c r="DL46" i="4"/>
  <c r="DK46" i="4"/>
  <c r="DM35" i="4"/>
  <c r="DL34" i="4"/>
  <c r="DK34" i="4"/>
  <c r="DM26" i="4"/>
  <c r="DL25" i="4"/>
  <c r="DK25" i="4"/>
  <c r="DM19" i="4"/>
  <c r="DM9" i="4"/>
  <c r="AJ26" i="4" l="1"/>
  <c r="AI26" i="4"/>
  <c r="AJ76" i="4"/>
  <c r="AJ80" i="4" s="1"/>
  <c r="AI76" i="4"/>
  <c r="DM70" i="4"/>
  <c r="DM25" i="4"/>
  <c r="DM59" i="4"/>
  <c r="DM34" i="4"/>
  <c r="DL92" i="4"/>
  <c r="DM46" i="4"/>
  <c r="DK92" i="4"/>
  <c r="DM80" i="4"/>
  <c r="DM91" i="4"/>
  <c r="BJ31" i="4"/>
  <c r="AE31" i="4"/>
  <c r="BJ26" i="4"/>
  <c r="BK26" i="4" s="1"/>
  <c r="AE26" i="4"/>
  <c r="AF26" i="4" s="1"/>
  <c r="AE57" i="4"/>
  <c r="AE54" i="4"/>
  <c r="AE47" i="4"/>
  <c r="BJ57" i="4"/>
  <c r="BJ54" i="4"/>
  <c r="BJ47" i="4"/>
  <c r="AE67" i="4"/>
  <c r="AE60" i="4"/>
  <c r="BG67" i="4"/>
  <c r="BJ68" i="4"/>
  <c r="AE68" i="4"/>
  <c r="BJ67" i="4"/>
  <c r="BJ60" i="4"/>
  <c r="BJ76" i="4"/>
  <c r="BK76" i="4" s="1"/>
  <c r="AE76" i="4"/>
  <c r="AG76" i="4" s="1"/>
  <c r="BK72" i="4"/>
  <c r="AE72" i="4"/>
  <c r="AF72" i="4" s="1"/>
  <c r="BJ35" i="4"/>
  <c r="BK35" i="4" s="1"/>
  <c r="AE35" i="4"/>
  <c r="AG35" i="4" s="1"/>
  <c r="BJ33" i="4"/>
  <c r="AE83" i="4"/>
  <c r="AE81" i="4"/>
  <c r="DI91" i="4"/>
  <c r="DH91" i="4"/>
  <c r="DJ81" i="4"/>
  <c r="DI80" i="4"/>
  <c r="DH80" i="4"/>
  <c r="DJ71" i="4"/>
  <c r="DI70" i="4"/>
  <c r="DH70" i="4"/>
  <c r="DJ60" i="4"/>
  <c r="DI59" i="4"/>
  <c r="DH59" i="4"/>
  <c r="DJ47" i="4"/>
  <c r="DI46" i="4"/>
  <c r="DH46" i="4"/>
  <c r="DJ35" i="4"/>
  <c r="DI34" i="4"/>
  <c r="DH34" i="4"/>
  <c r="DJ26" i="4"/>
  <c r="DI25" i="4"/>
  <c r="DH25" i="4"/>
  <c r="DJ19" i="4"/>
  <c r="DJ9" i="4"/>
  <c r="BK90" i="4"/>
  <c r="BK43" i="4"/>
  <c r="AG79" i="4"/>
  <c r="AF79" i="4"/>
  <c r="AF43" i="4"/>
  <c r="AB33" i="4"/>
  <c r="BJ86" i="4"/>
  <c r="BJ83" i="4"/>
  <c r="BJ81" i="4"/>
  <c r="BJ78" i="4"/>
  <c r="BK78" i="4" s="1"/>
  <c r="BJ71" i="4"/>
  <c r="BK70" i="4"/>
  <c r="BL60" i="4"/>
  <c r="BL70" i="4" s="1"/>
  <c r="BL59" i="4"/>
  <c r="BK59" i="4"/>
  <c r="BL47" i="4"/>
  <c r="BK25" i="4"/>
  <c r="BJ19" i="4"/>
  <c r="BL9" i="4"/>
  <c r="BL25" i="4" s="1"/>
  <c r="BJ9" i="4"/>
  <c r="AE33" i="4"/>
  <c r="AG91" i="4"/>
  <c r="AF91" i="4"/>
  <c r="AE86" i="4"/>
  <c r="AE78" i="4"/>
  <c r="AF78" i="4" s="1"/>
  <c r="AE71" i="4"/>
  <c r="AF71" i="4" s="1"/>
  <c r="AG70" i="4"/>
  <c r="AF70" i="4"/>
  <c r="AG59" i="4"/>
  <c r="AF59" i="4"/>
  <c r="AG25" i="4"/>
  <c r="AF25" i="4"/>
  <c r="AE19" i="4"/>
  <c r="AE9" i="4"/>
  <c r="AB108" i="4"/>
  <c r="AE108" i="4" s="1"/>
  <c r="AH108" i="4" s="1"/>
  <c r="DJ59" i="4" l="1"/>
  <c r="DM92" i="4"/>
  <c r="AG26" i="4"/>
  <c r="DJ46" i="4"/>
  <c r="DJ25" i="4"/>
  <c r="BK46" i="4"/>
  <c r="DJ70" i="4"/>
  <c r="DJ34" i="4"/>
  <c r="BL35" i="4"/>
  <c r="BL46" i="4" s="1"/>
  <c r="DH92" i="4"/>
  <c r="DJ80" i="4"/>
  <c r="AF76" i="4"/>
  <c r="DI92" i="4"/>
  <c r="AF35" i="4"/>
  <c r="AF46" i="4" s="1"/>
  <c r="DJ91" i="4"/>
  <c r="BG72" i="4"/>
  <c r="BH72" i="4" s="1"/>
  <c r="AB72" i="4"/>
  <c r="AC72" i="4" s="1"/>
  <c r="BG57" i="4"/>
  <c r="BG54" i="4"/>
  <c r="BG47" i="4"/>
  <c r="AB57" i="4"/>
  <c r="AB54" i="4"/>
  <c r="AB47" i="4"/>
  <c r="BG68" i="4"/>
  <c r="BG60" i="4"/>
  <c r="AB68" i="4"/>
  <c r="AB67" i="4"/>
  <c r="AB60" i="4"/>
  <c r="BH90" i="4"/>
  <c r="BI47" i="4"/>
  <c r="BH43" i="4"/>
  <c r="BG35" i="4"/>
  <c r="BH35" i="4" s="1"/>
  <c r="BH26" i="4"/>
  <c r="AB83" i="4"/>
  <c r="AB81" i="4"/>
  <c r="AD26" i="4"/>
  <c r="AD76" i="4"/>
  <c r="AA76" i="4"/>
  <c r="AC79" i="4"/>
  <c r="AC76" i="4"/>
  <c r="AC43" i="4"/>
  <c r="AD43" i="4" s="1"/>
  <c r="AB35" i="4"/>
  <c r="AD35" i="4" s="1"/>
  <c r="AC26" i="4"/>
  <c r="Y33" i="4"/>
  <c r="BG33" i="4"/>
  <c r="BG83" i="4"/>
  <c r="BG81" i="4"/>
  <c r="DF91" i="4"/>
  <c r="DE91" i="4"/>
  <c r="DG81" i="4"/>
  <c r="DF80" i="4"/>
  <c r="DE80" i="4"/>
  <c r="DG71" i="4"/>
  <c r="DF70" i="4"/>
  <c r="DE70" i="4"/>
  <c r="DG60" i="4"/>
  <c r="DF59" i="4"/>
  <c r="DE59" i="4"/>
  <c r="DG47" i="4"/>
  <c r="DF46" i="4"/>
  <c r="DE46" i="4"/>
  <c r="DG35" i="4"/>
  <c r="DF34" i="4"/>
  <c r="DE34" i="4"/>
  <c r="DG26" i="4"/>
  <c r="DF25" i="4"/>
  <c r="DE25" i="4"/>
  <c r="DG19" i="4"/>
  <c r="DG9" i="4"/>
  <c r="BG86" i="4"/>
  <c r="BG78" i="4"/>
  <c r="BH78" i="4" s="1"/>
  <c r="BH77" i="4"/>
  <c r="BG76" i="4"/>
  <c r="BH76" i="4" s="1"/>
  <c r="BG71" i="4"/>
  <c r="BH70" i="4"/>
  <c r="BI60" i="4"/>
  <c r="BI70" i="4" s="1"/>
  <c r="BG31" i="4"/>
  <c r="BH25" i="4"/>
  <c r="BG19" i="4"/>
  <c r="BI9" i="4"/>
  <c r="BI25" i="4" s="1"/>
  <c r="BG9" i="4"/>
  <c r="AB100" i="4"/>
  <c r="AD91" i="4"/>
  <c r="AC91" i="4"/>
  <c r="AB86" i="4"/>
  <c r="AB78" i="4"/>
  <c r="AC78" i="4" s="1"/>
  <c r="AC77" i="4"/>
  <c r="AB71" i="4"/>
  <c r="AC71" i="4" s="1"/>
  <c r="AD70" i="4"/>
  <c r="AD59" i="4"/>
  <c r="AB31" i="4"/>
  <c r="AD25" i="4"/>
  <c r="AC25" i="4"/>
  <c r="AB19" i="4"/>
  <c r="AB9" i="4"/>
  <c r="BN77" i="4" l="1"/>
  <c r="BN80" i="4" s="1"/>
  <c r="AI77" i="4"/>
  <c r="DJ92" i="4"/>
  <c r="DG80" i="4"/>
  <c r="AD80" i="4"/>
  <c r="DE92" i="4"/>
  <c r="BH80" i="4"/>
  <c r="BH46" i="4"/>
  <c r="BI35" i="4"/>
  <c r="BI46" i="4" s="1"/>
  <c r="DG34" i="4"/>
  <c r="DG70" i="4"/>
  <c r="DG25" i="4"/>
  <c r="DG59" i="4"/>
  <c r="AC35" i="4"/>
  <c r="AC46" i="4" s="1"/>
  <c r="DG46" i="4"/>
  <c r="BI71" i="4"/>
  <c r="DF92" i="4"/>
  <c r="DG91" i="4"/>
  <c r="EF115" i="4"/>
  <c r="EF116" i="4" s="1"/>
  <c r="DG92" i="4" l="1"/>
  <c r="DB25" i="4"/>
  <c r="DB92" i="4" s="1"/>
  <c r="DA25" i="4"/>
  <c r="DA92" i="4" s="1"/>
  <c r="DD91" i="4"/>
  <c r="DC91" i="4"/>
  <c r="DD81" i="4"/>
  <c r="DC81" i="4"/>
  <c r="DD80" i="4"/>
  <c r="DC80" i="4"/>
  <c r="DD71" i="4"/>
  <c r="DC71" i="4"/>
  <c r="DD70" i="4"/>
  <c r="DC70" i="4"/>
  <c r="DD60" i="4"/>
  <c r="DC60" i="4"/>
  <c r="DD59" i="4"/>
  <c r="DC59" i="4"/>
  <c r="DD47" i="4"/>
  <c r="DC47" i="4"/>
  <c r="DD46" i="4"/>
  <c r="DC46" i="4"/>
  <c r="DD35" i="4"/>
  <c r="DC35" i="4"/>
  <c r="DD34" i="4"/>
  <c r="DC34" i="4"/>
  <c r="DD26" i="4"/>
  <c r="DC26" i="4"/>
  <c r="CZ9" i="4"/>
  <c r="DD9" i="4" s="1"/>
  <c r="DD19" i="4"/>
  <c r="DC19" i="4"/>
  <c r="DD25" i="4" l="1"/>
  <c r="CZ25" i="4"/>
  <c r="CZ92" i="4" s="1"/>
  <c r="DD92" i="4" s="1"/>
  <c r="DC9" i="4"/>
  <c r="DC25" i="4" s="1"/>
  <c r="AA108" i="4"/>
  <c r="Z91" i="4"/>
  <c r="AA70" i="4"/>
  <c r="AA80" i="4" s="1"/>
  <c r="Z26" i="4"/>
  <c r="Z34" i="4" s="1"/>
  <c r="DC92" i="4" l="1"/>
  <c r="BD35" i="4"/>
  <c r="Z108" i="4"/>
  <c r="Y100" i="4"/>
  <c r="Y35" i="4"/>
  <c r="AA35" i="4" s="1"/>
  <c r="Q83" i="4"/>
  <c r="BD81" i="4"/>
  <c r="BA81" i="4"/>
  <c r="Y81" i="4"/>
  <c r="BD83" i="4"/>
  <c r="Y83" i="4"/>
  <c r="Y31" i="4"/>
  <c r="BD31" i="4"/>
  <c r="CY26" i="4"/>
  <c r="CY81" i="4"/>
  <c r="CY71" i="4"/>
  <c r="CY60" i="4"/>
  <c r="CY47" i="4"/>
  <c r="CY35" i="4"/>
  <c r="CY19" i="4"/>
  <c r="CY9" i="4"/>
  <c r="BD33" i="4" l="1"/>
  <c r="BA72" i="4"/>
  <c r="Y9" i="4"/>
  <c r="BD9" i="4"/>
  <c r="BE90" i="4" l="1"/>
  <c r="BE77" i="4"/>
  <c r="BE43" i="4"/>
  <c r="BE35" i="4"/>
  <c r="BE26" i="4"/>
  <c r="CX91" i="4"/>
  <c r="CW91" i="4"/>
  <c r="CW80" i="4"/>
  <c r="CX80" i="4"/>
  <c r="CX70" i="4"/>
  <c r="CW70" i="4"/>
  <c r="CX59" i="4"/>
  <c r="CW59" i="4"/>
  <c r="CX34" i="4"/>
  <c r="CW34" i="4"/>
  <c r="CX25" i="4"/>
  <c r="CW25" i="4"/>
  <c r="CX46" i="4"/>
  <c r="CW46" i="4"/>
  <c r="Z79" i="4"/>
  <c r="Z77" i="4"/>
  <c r="Z76" i="4"/>
  <c r="Y72" i="4"/>
  <c r="Z72" i="4" s="1"/>
  <c r="Y71" i="4"/>
  <c r="Z71" i="4" s="1"/>
  <c r="Z80" i="4" s="1"/>
  <c r="AA43" i="4"/>
  <c r="Z43" i="4"/>
  <c r="Z35" i="4"/>
  <c r="AA26" i="4"/>
  <c r="Y86" i="4"/>
  <c r="Y78" i="4"/>
  <c r="Z78" i="4" s="1"/>
  <c r="Y68" i="4"/>
  <c r="Z68" i="4" s="1"/>
  <c r="Z70" i="4" s="1"/>
  <c r="Y67" i="4"/>
  <c r="Y60" i="4"/>
  <c r="Y57" i="4"/>
  <c r="Y54" i="4"/>
  <c r="Y47" i="4"/>
  <c r="Y19" i="4"/>
  <c r="AA91" i="4"/>
  <c r="AA59" i="4"/>
  <c r="AA25" i="4"/>
  <c r="Z25" i="4"/>
  <c r="BD86" i="4"/>
  <c r="BD68" i="4"/>
  <c r="BD67" i="4"/>
  <c r="BD60" i="4"/>
  <c r="BD54" i="4"/>
  <c r="BD47" i="4"/>
  <c r="BD76" i="4"/>
  <c r="BE76" i="4" s="1"/>
  <c r="BD72" i="4"/>
  <c r="BE72" i="4" s="1"/>
  <c r="BD71" i="4"/>
  <c r="BD78" i="4"/>
  <c r="BE78" i="4" s="1"/>
  <c r="BD57" i="4"/>
  <c r="BE25" i="4"/>
  <c r="BD19" i="4"/>
  <c r="BF9" i="4"/>
  <c r="BF25" i="4" s="1"/>
  <c r="CV81" i="4"/>
  <c r="CV71" i="4"/>
  <c r="CV80" i="4" s="1"/>
  <c r="CV60" i="4"/>
  <c r="CV47" i="4"/>
  <c r="CV46" i="4"/>
  <c r="CV35" i="4"/>
  <c r="CV26" i="4"/>
  <c r="CV19" i="4"/>
  <c r="CV9" i="4"/>
  <c r="BA78" i="4"/>
  <c r="V78" i="4"/>
  <c r="V72" i="4"/>
  <c r="BA31" i="4"/>
  <c r="V31" i="4"/>
  <c r="V100" i="4"/>
  <c r="AF77" i="4" l="1"/>
  <c r="AF80" i="4" s="1"/>
  <c r="BK77" i="4"/>
  <c r="BL71" i="4" s="1"/>
  <c r="BE80" i="4"/>
  <c r="BF71" i="4"/>
  <c r="BF80" i="4"/>
  <c r="CW92" i="4"/>
  <c r="CY25" i="4"/>
  <c r="CY59" i="4"/>
  <c r="Z46" i="4"/>
  <c r="CY46" i="4"/>
  <c r="CY34" i="4"/>
  <c r="CY70" i="4"/>
  <c r="CY91" i="4"/>
  <c r="CX92" i="4"/>
  <c r="CY80" i="4"/>
  <c r="CU59" i="4"/>
  <c r="CT59" i="4"/>
  <c r="CU91" i="4"/>
  <c r="CT91" i="4"/>
  <c r="CU80" i="4"/>
  <c r="CT80" i="4"/>
  <c r="CU70" i="4"/>
  <c r="CT70" i="4"/>
  <c r="CU46" i="4"/>
  <c r="CT46" i="4"/>
  <c r="CU34" i="4"/>
  <c r="CT34" i="4"/>
  <c r="CU25" i="4"/>
  <c r="CT25" i="4"/>
  <c r="CS81" i="4"/>
  <c r="CS71" i="4"/>
  <c r="CS60" i="4"/>
  <c r="CS47" i="4"/>
  <c r="CS59" i="4" s="1"/>
  <c r="CS46" i="4"/>
  <c r="CS35" i="4"/>
  <c r="CS26" i="4"/>
  <c r="CS34" i="4" s="1"/>
  <c r="CS19" i="4"/>
  <c r="CS9" i="4"/>
  <c r="CY92" i="4" l="1"/>
  <c r="CT92" i="4"/>
  <c r="CU92" i="4"/>
  <c r="V33" i="4"/>
  <c r="BA33" i="4"/>
  <c r="BA86" i="4"/>
  <c r="BA83" i="4"/>
  <c r="V83" i="4"/>
  <c r="BA68" i="4"/>
  <c r="BA60" i="4"/>
  <c r="BA54" i="4"/>
  <c r="BA47" i="4"/>
  <c r="V19" i="4"/>
  <c r="BA19" i="4"/>
  <c r="BA9" i="4"/>
  <c r="V9" i="4"/>
  <c r="V86" i="4"/>
  <c r="V81" i="4" l="1"/>
  <c r="V60" i="4"/>
  <c r="V67" i="4"/>
  <c r="V68" i="4"/>
  <c r="AC70" i="4" s="1"/>
  <c r="V47" i="4"/>
  <c r="V54" i="4"/>
  <c r="X107" i="4"/>
  <c r="CO91" i="4" l="1"/>
  <c r="CP81" i="4"/>
  <c r="CO80" i="4"/>
  <c r="CS80" i="4" s="1"/>
  <c r="CP71" i="4"/>
  <c r="CO70" i="4"/>
  <c r="CP60" i="4"/>
  <c r="CO59" i="4"/>
  <c r="CP47" i="4"/>
  <c r="CP59" i="4" s="1"/>
  <c r="CP46" i="4"/>
  <c r="CP35" i="4"/>
  <c r="CO34" i="4"/>
  <c r="CN34" i="4"/>
  <c r="CP26" i="4"/>
  <c r="CP34" i="4" s="1"/>
  <c r="CO25" i="4"/>
  <c r="CN25" i="4"/>
  <c r="CP19" i="4"/>
  <c r="CP9" i="4"/>
  <c r="CM91" i="4"/>
  <c r="CM81" i="4"/>
  <c r="CM80" i="4"/>
  <c r="CM71" i="4"/>
  <c r="CM70" i="4"/>
  <c r="CM60" i="4"/>
  <c r="CM59" i="4"/>
  <c r="CM47" i="4"/>
  <c r="CM46" i="4"/>
  <c r="CM35" i="4"/>
  <c r="CM34" i="4"/>
  <c r="CM26" i="4"/>
  <c r="CL25" i="4"/>
  <c r="CL92" i="4" s="1"/>
  <c r="CK25" i="4"/>
  <c r="CK92" i="4" s="1"/>
  <c r="CM19" i="4"/>
  <c r="CM9" i="4"/>
  <c r="BA35" i="4"/>
  <c r="V35" i="4"/>
  <c r="W107" i="4"/>
  <c r="CP70" i="4" l="1"/>
  <c r="CS70" i="4"/>
  <c r="CS25" i="4"/>
  <c r="CP91" i="4"/>
  <c r="CS91" i="4"/>
  <c r="CN92" i="4"/>
  <c r="CM92" i="4"/>
  <c r="CP25" i="4"/>
  <c r="CO92" i="4"/>
  <c r="CP80" i="4"/>
  <c r="CM25" i="4"/>
  <c r="BA67" i="4"/>
  <c r="X106" i="4"/>
  <c r="AA106" i="4" s="1"/>
  <c r="AD106" i="4" s="1"/>
  <c r="AG106" i="4" s="1"/>
  <c r="AJ106" i="4" s="1"/>
  <c r="X105" i="4"/>
  <c r="AA105" i="4" s="1"/>
  <c r="AD105" i="4" s="1"/>
  <c r="AG105" i="4" s="1"/>
  <c r="AJ105" i="4" s="1"/>
  <c r="X104" i="4"/>
  <c r="AA104" i="4" s="1"/>
  <c r="AD104" i="4" s="1"/>
  <c r="AG104" i="4" s="1"/>
  <c r="AJ104" i="4" s="1"/>
  <c r="W104" i="4"/>
  <c r="Z104" i="4" s="1"/>
  <c r="AC104" i="4" s="1"/>
  <c r="AF104" i="4" s="1"/>
  <c r="AI104" i="4" s="1"/>
  <c r="W105" i="4"/>
  <c r="Z105" i="4" s="1"/>
  <c r="AC105" i="4" s="1"/>
  <c r="AF105" i="4" s="1"/>
  <c r="AI105" i="4" s="1"/>
  <c r="W106" i="4"/>
  <c r="Z106" i="4" s="1"/>
  <c r="AC106" i="4" s="1"/>
  <c r="AF106" i="4" s="1"/>
  <c r="AI106" i="4" s="1"/>
  <c r="CP92" i="4" l="1"/>
  <c r="CS92" i="4"/>
  <c r="X103" i="4"/>
  <c r="AA103" i="4" s="1"/>
  <c r="AD103" i="4" s="1"/>
  <c r="AG103" i="4" s="1"/>
  <c r="AJ103" i="4" s="1"/>
  <c r="W103" i="4"/>
  <c r="Z103" i="4" s="1"/>
  <c r="AC103" i="4" s="1"/>
  <c r="AF103" i="4" s="1"/>
  <c r="AI103" i="4" s="1"/>
  <c r="X102" i="4"/>
  <c r="AA102" i="4" s="1"/>
  <c r="AD102" i="4" s="1"/>
  <c r="AG102" i="4" s="1"/>
  <c r="AJ102" i="4" s="1"/>
  <c r="W102" i="4"/>
  <c r="Z102" i="4" s="1"/>
  <c r="AC102" i="4" s="1"/>
  <c r="AF102" i="4" s="1"/>
  <c r="AI102" i="4" s="1"/>
  <c r="X101" i="4"/>
  <c r="AA101" i="4" s="1"/>
  <c r="AD101" i="4" s="1"/>
  <c r="AG101" i="4" s="1"/>
  <c r="AJ101" i="4" s="1"/>
  <c r="W101" i="4"/>
  <c r="Z101" i="4" s="1"/>
  <c r="AC101" i="4" s="1"/>
  <c r="AF101" i="4" s="1"/>
  <c r="AI101" i="4" s="1"/>
  <c r="CR91" i="4" l="1"/>
  <c r="CV91" i="4" s="1"/>
  <c r="CR80" i="4"/>
  <c r="CR70" i="4"/>
  <c r="CV70" i="4" s="1"/>
  <c r="CR59" i="4"/>
  <c r="CV59" i="4" s="1"/>
  <c r="CR34" i="4"/>
  <c r="CQ34" i="4"/>
  <c r="CV34" i="4" l="1"/>
  <c r="BA57" i="4"/>
  <c r="CR25" i="4" l="1"/>
  <c r="CQ25" i="4"/>
  <c r="CQ92" i="4" s="1"/>
  <c r="CJ91" i="4"/>
  <c r="CJ81" i="4"/>
  <c r="CJ80" i="4"/>
  <c r="CJ71" i="4"/>
  <c r="CJ70" i="4"/>
  <c r="CJ60" i="4"/>
  <c r="CJ59" i="4"/>
  <c r="CJ47" i="4"/>
  <c r="CJ46" i="4"/>
  <c r="CJ35" i="4"/>
  <c r="CJ26" i="4"/>
  <c r="CJ19" i="4"/>
  <c r="CJ9" i="4"/>
  <c r="CJ34" i="4"/>
  <c r="CI25" i="4"/>
  <c r="CI92" i="4" s="1"/>
  <c r="CH25" i="4"/>
  <c r="CH92" i="4" s="1"/>
  <c r="CR92" i="4" l="1"/>
  <c r="CV92" i="4" s="1"/>
  <c r="CV25" i="4"/>
  <c r="CJ92" i="4"/>
  <c r="CJ25" i="4"/>
  <c r="V57" i="4" l="1"/>
  <c r="X100" i="4" l="1"/>
  <c r="CG91" i="4"/>
  <c r="CG81" i="4"/>
  <c r="CG80" i="4"/>
  <c r="CG71" i="4"/>
  <c r="CG70" i="4"/>
  <c r="CG60" i="4"/>
  <c r="CG59" i="4"/>
  <c r="CG47" i="4"/>
  <c r="CG46" i="4"/>
  <c r="CG35" i="4"/>
  <c r="CG34" i="4"/>
  <c r="CG26" i="4"/>
  <c r="CF25" i="4"/>
  <c r="CF92" i="4" s="1"/>
  <c r="CE25" i="4"/>
  <c r="CE92" i="4" s="1"/>
  <c r="CG19" i="4"/>
  <c r="CG9" i="4"/>
  <c r="CG92" i="4" l="1"/>
  <c r="CG25" i="4"/>
  <c r="W100" i="4" l="1"/>
  <c r="CB92" i="4" l="1"/>
  <c r="CD91" i="4"/>
  <c r="CD81" i="4"/>
  <c r="CC91" i="4"/>
  <c r="CC81" i="4"/>
  <c r="CD80" i="4"/>
  <c r="CC80" i="4"/>
  <c r="CC71" i="4"/>
  <c r="CD70" i="4"/>
  <c r="CC70" i="4"/>
  <c r="CD60" i="4"/>
  <c r="CC60" i="4"/>
  <c r="CD59" i="4"/>
  <c r="CC59" i="4"/>
  <c r="CD47" i="4"/>
  <c r="CC47" i="4"/>
  <c r="CD46" i="4"/>
  <c r="CC46" i="4"/>
  <c r="CD35" i="4"/>
  <c r="CC35" i="4"/>
  <c r="CD34" i="4"/>
  <c r="CC34" i="4"/>
  <c r="CC26" i="4"/>
  <c r="CA25" i="4"/>
  <c r="CA92" i="4" s="1"/>
  <c r="BZ25" i="4"/>
  <c r="CD25" i="4" s="1"/>
  <c r="CC19" i="4"/>
  <c r="CD9" i="4"/>
  <c r="CC9" i="4"/>
  <c r="CC25" i="4" l="1"/>
  <c r="BZ92" i="4"/>
  <c r="CD92" i="4" s="1"/>
  <c r="W72" i="4"/>
  <c r="W35" i="4"/>
  <c r="CC92" i="4" l="1"/>
  <c r="X25" i="4"/>
  <c r="BB90" i="4" l="1"/>
  <c r="BB79" i="4"/>
  <c r="BB78" i="4"/>
  <c r="BB76" i="4"/>
  <c r="BB72" i="4"/>
  <c r="BB71" i="4"/>
  <c r="BB68" i="4"/>
  <c r="BB43" i="4"/>
  <c r="BB35" i="4"/>
  <c r="BB26" i="4"/>
  <c r="BB25" i="4"/>
  <c r="BF26" i="4" l="1"/>
  <c r="BF34" i="4" s="1"/>
  <c r="BE34" i="4"/>
  <c r="BB46" i="4"/>
  <c r="BC9" i="4"/>
  <c r="BC25" i="4" s="1"/>
  <c r="BC26" i="4"/>
  <c r="BC34" i="4" s="1"/>
  <c r="BC71" i="4"/>
  <c r="BC80" i="4" s="1"/>
  <c r="BB80" i="4"/>
  <c r="BC60" i="4"/>
  <c r="BC70" i="4" s="1"/>
  <c r="BC35" i="4"/>
  <c r="BC46" i="4" s="1"/>
  <c r="BB91" i="4"/>
  <c r="BB34" i="4"/>
  <c r="BB70" i="4"/>
  <c r="AX90" i="4" l="1"/>
  <c r="AX89" i="4"/>
  <c r="AX88" i="4"/>
  <c r="AX87" i="4"/>
  <c r="AX86" i="4"/>
  <c r="AX85" i="4"/>
  <c r="AX84" i="4"/>
  <c r="AX83" i="4"/>
  <c r="AX82" i="4"/>
  <c r="AX81" i="4"/>
  <c r="AX79" i="4"/>
  <c r="AX78" i="4"/>
  <c r="AX77" i="4"/>
  <c r="AX76" i="4"/>
  <c r="AX75" i="4"/>
  <c r="AX74" i="4"/>
  <c r="AX73" i="4"/>
  <c r="AX72" i="4"/>
  <c r="AX71" i="4"/>
  <c r="AX69" i="4"/>
  <c r="AX68" i="4"/>
  <c r="AX67" i="4"/>
  <c r="AX66" i="4"/>
  <c r="AX65" i="4"/>
  <c r="AX64" i="4"/>
  <c r="AX63" i="4"/>
  <c r="AX62" i="4"/>
  <c r="AX61" i="4"/>
  <c r="AX60" i="4"/>
  <c r="AX58" i="4"/>
  <c r="AX57" i="4"/>
  <c r="AX56" i="4"/>
  <c r="AX55" i="4"/>
  <c r="AX54" i="4"/>
  <c r="AX53" i="4"/>
  <c r="AX52" i="4"/>
  <c r="AX51" i="4"/>
  <c r="AX50" i="4"/>
  <c r="AX49" i="4"/>
  <c r="AX48" i="4"/>
  <c r="AX47" i="4"/>
  <c r="AX45" i="4"/>
  <c r="AX44" i="4"/>
  <c r="AX43" i="4"/>
  <c r="AX42" i="4"/>
  <c r="AX41" i="4"/>
  <c r="AX40" i="4"/>
  <c r="AX39" i="4"/>
  <c r="AX38" i="4"/>
  <c r="AX37" i="4"/>
  <c r="AX36" i="4"/>
  <c r="AX35" i="4"/>
  <c r="AX33" i="4"/>
  <c r="AX32" i="4"/>
  <c r="AX31" i="4"/>
  <c r="AX30" i="4"/>
  <c r="AX29" i="4"/>
  <c r="AX28" i="4"/>
  <c r="AX27" i="4"/>
  <c r="AX26" i="4"/>
  <c r="AX24" i="4"/>
  <c r="AX23" i="4"/>
  <c r="AX22" i="4"/>
  <c r="AX21" i="4"/>
  <c r="AX20" i="4"/>
  <c r="AX19" i="4"/>
  <c r="AX16" i="4"/>
  <c r="AX15" i="4"/>
  <c r="AX14" i="4"/>
  <c r="AX13" i="4"/>
  <c r="AX12" i="4"/>
  <c r="AX11" i="4"/>
  <c r="AX10" i="4"/>
  <c r="BS86" i="4"/>
  <c r="BC81" i="4" l="1"/>
  <c r="AY33" i="4"/>
  <c r="AZ9" i="4"/>
  <c r="AX9" i="4"/>
  <c r="X26" i="4"/>
  <c r="X35" i="4"/>
  <c r="AJ46" i="4" s="1"/>
  <c r="X43" i="4"/>
  <c r="X91" i="4"/>
  <c r="AG34" i="4" l="1"/>
  <c r="AJ34" i="4"/>
  <c r="AJ92" i="4" s="1"/>
  <c r="AD46" i="4"/>
  <c r="AA34" i="4"/>
  <c r="AD34" i="4"/>
  <c r="AA46" i="4"/>
  <c r="AA92" i="4" s="1"/>
  <c r="BC91" i="4"/>
  <c r="X59" i="4"/>
  <c r="X79" i="4"/>
  <c r="X76" i="4"/>
  <c r="AG80" i="4" s="1"/>
  <c r="X70" i="4"/>
  <c r="AD92" i="4" l="1"/>
  <c r="X80" i="4"/>
  <c r="X46" i="4"/>
  <c r="BX91" i="4" l="1"/>
  <c r="BW91" i="4"/>
  <c r="BY81" i="4"/>
  <c r="BY91" i="4" s="1"/>
  <c r="BX80" i="4"/>
  <c r="BW80" i="4"/>
  <c r="BY71" i="4"/>
  <c r="BY80" i="4" s="1"/>
  <c r="BX70" i="4"/>
  <c r="BW70" i="4"/>
  <c r="BY60" i="4"/>
  <c r="BY70" i="4" s="1"/>
  <c r="BX59" i="4"/>
  <c r="BW59" i="4"/>
  <c r="BY47" i="4"/>
  <c r="BY59" i="4" s="1"/>
  <c r="BX46" i="4"/>
  <c r="BW46" i="4"/>
  <c r="BY35" i="4"/>
  <c r="BX34" i="4"/>
  <c r="BW34" i="4"/>
  <c r="BY26" i="4"/>
  <c r="BY34" i="4" s="1"/>
  <c r="BX25" i="4"/>
  <c r="BW25" i="4"/>
  <c r="BY19" i="4"/>
  <c r="BY9" i="4"/>
  <c r="BY46" i="4" l="1"/>
  <c r="BY25" i="4"/>
  <c r="BX92" i="4"/>
  <c r="BW92" i="4"/>
  <c r="BY92" i="4" l="1"/>
  <c r="W90" i="4" l="1"/>
  <c r="BN91" i="4" s="1"/>
  <c r="W79" i="4"/>
  <c r="W78" i="4"/>
  <c r="W76" i="4"/>
  <c r="W71" i="4"/>
  <c r="W68" i="4"/>
  <c r="W43" i="4"/>
  <c r="W26" i="4"/>
  <c r="W25" i="4"/>
  <c r="AI80" i="4" l="1"/>
  <c r="BN34" i="4"/>
  <c r="AI34" i="4"/>
  <c r="BN46" i="4"/>
  <c r="AI46" i="4"/>
  <c r="BO71" i="4"/>
  <c r="AF34" i="4"/>
  <c r="AG46" i="4"/>
  <c r="AG92" i="4" s="1"/>
  <c r="BL80" i="4"/>
  <c r="BK91" i="4"/>
  <c r="BL81" i="4"/>
  <c r="BL91" i="4" s="1"/>
  <c r="AC34" i="4"/>
  <c r="BH91" i="4"/>
  <c r="BI81" i="4"/>
  <c r="BI91" i="4" s="1"/>
  <c r="AC80" i="4"/>
  <c r="W70" i="4"/>
  <c r="W80" i="4" s="1"/>
  <c r="W46" i="4"/>
  <c r="W91" i="4"/>
  <c r="W34" i="4"/>
  <c r="X34" i="4"/>
  <c r="X92" i="4" s="1"/>
  <c r="BO80" i="4" l="1"/>
  <c r="BO92" i="4" s="1"/>
  <c r="AI92" i="4"/>
  <c r="BN92" i="4"/>
  <c r="AF92" i="4"/>
  <c r="BK34" i="4"/>
  <c r="BL26" i="4"/>
  <c r="BL34" i="4" s="1"/>
  <c r="BL92" i="4" s="1"/>
  <c r="BK80" i="4"/>
  <c r="BI80" i="4"/>
  <c r="BH34" i="4"/>
  <c r="BI26" i="4"/>
  <c r="BI34" i="4" s="1"/>
  <c r="BF81" i="4"/>
  <c r="BF91" i="4" s="1"/>
  <c r="BE91" i="4"/>
  <c r="BE46" i="4"/>
  <c r="BF35" i="4"/>
  <c r="BF46" i="4" s="1"/>
  <c r="BE70" i="4"/>
  <c r="BF60" i="4"/>
  <c r="BF70" i="4" s="1"/>
  <c r="T57" i="4"/>
  <c r="I81" i="4"/>
  <c r="I47" i="4"/>
  <c r="I9" i="4"/>
  <c r="I71" i="4" s="1"/>
  <c r="BK92" i="4" l="1"/>
  <c r="Z57" i="4"/>
  <c r="BE57" i="4"/>
  <c r="W57" i="4"/>
  <c r="BB57" i="4"/>
  <c r="BI59" i="4" l="1"/>
  <c r="BI92" i="4" s="1"/>
  <c r="BH59" i="4"/>
  <c r="BH92" i="4" s="1"/>
  <c r="Z59" i="4"/>
  <c r="Z92" i="4" s="1"/>
  <c r="AC59" i="4"/>
  <c r="AC92" i="4" s="1"/>
  <c r="BF59" i="4"/>
  <c r="BF92" i="4" s="1"/>
  <c r="BF47" i="4"/>
  <c r="W59" i="4"/>
  <c r="W92" i="4" s="1"/>
  <c r="BC47" i="4"/>
  <c r="BC59" i="4" s="1"/>
  <c r="BC92" i="4" s="1"/>
  <c r="BB59" i="4"/>
  <c r="BB92" i="4" s="1"/>
  <c r="BE59" i="4" l="1"/>
  <c r="BE9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5"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37" authorId="0" shapeId="0" xr:uid="{00000000-0006-0000-0000-000002000000}">
      <text>
        <r>
          <rPr>
            <b/>
            <sz val="9"/>
            <color indexed="81"/>
            <rFont val="Tahoma"/>
            <family val="2"/>
          </rPr>
          <t xml:space="preserve">USUARIO:
</t>
        </r>
        <r>
          <rPr>
            <sz val="9"/>
            <color indexed="81"/>
            <rFont val="Tahoma"/>
            <family val="2"/>
          </rPr>
          <t xml:space="preserve">La dependencia determinará el valor porcentual asignado a la actividad dentro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Luz Marlene Andrade</author>
    <author>JOHANA VIELLAR</author>
    <author>Jose David Torne Lorduy</author>
  </authors>
  <commentList>
    <comment ref="P7" authorId="0" shapeId="0" xr:uid="{00000000-0006-0000-0100-000001000000}">
      <text>
        <r>
          <rPr>
            <b/>
            <sz val="9"/>
            <color indexed="81"/>
            <rFont val="Tahoma"/>
            <family val="2"/>
          </rPr>
          <t>USUARIO:
1. BIEN
2. SERVICIO</t>
        </r>
        <r>
          <rPr>
            <sz val="9"/>
            <color indexed="81"/>
            <rFont val="Tahoma"/>
            <family val="2"/>
          </rPr>
          <t xml:space="preserve">
</t>
        </r>
      </text>
    </comment>
    <comment ref="AS7" authorId="0" shapeId="0" xr:uid="{00000000-0006-0000-0100-000002000000}">
      <text>
        <r>
          <rPr>
            <b/>
            <sz val="20"/>
            <color indexed="81"/>
            <rFont val="Tahoma"/>
            <family val="2"/>
          </rPr>
          <t xml:space="preserve">USUARIO:
</t>
        </r>
        <r>
          <rPr>
            <sz val="20"/>
            <color indexed="81"/>
            <rFont val="Tahoma"/>
            <family val="2"/>
          </rPr>
          <t>Hitos intermedios que evidencian el avance en la generacion de un producto en el tiempo
PRODUCTO TANGIBLE DE LA ACTIVIDAD</t>
        </r>
      </text>
    </comment>
    <comment ref="AU7" authorId="0" shapeId="0" xr:uid="{00000000-0006-0000-0100-000003000000}">
      <text>
        <r>
          <rPr>
            <b/>
            <sz val="16"/>
            <color indexed="81"/>
            <rFont val="Tahoma"/>
            <family val="2"/>
          </rPr>
          <t xml:space="preserve">USUARIO:
</t>
        </r>
        <r>
          <rPr>
            <sz val="16"/>
            <color indexed="81"/>
            <rFont val="Tahoma"/>
            <family val="2"/>
          </rPr>
          <t>La dependencia determinará el valor porcentual asignado a la actividad dentro del proyecto</t>
        </r>
        <r>
          <rPr>
            <sz val="14"/>
            <color indexed="81"/>
            <rFont val="Tahoma"/>
            <family val="2"/>
          </rPr>
          <t xml:space="preserve">
</t>
        </r>
      </text>
    </comment>
    <comment ref="BT7" authorId="1" shapeId="0" xr:uid="{00000000-0006-0000-0100-000004000000}">
      <text>
        <r>
          <rPr>
            <b/>
            <sz val="9"/>
            <color indexed="81"/>
            <rFont val="Tahoma"/>
            <family val="2"/>
          </rPr>
          <t>Luz Marlene Andrade:</t>
        </r>
        <r>
          <rPr>
            <sz val="9"/>
            <color indexed="81"/>
            <rFont val="Tahoma"/>
            <family val="2"/>
          </rPr>
          <t xml:space="preserve">
1. Recursos Propios - ICLD
2. SGP
3. Donaciones
</t>
        </r>
      </text>
    </comment>
    <comment ref="DP7" authorId="2" shapeId="0" xr:uid="{00000000-0006-0000-0100-000005000000}">
      <text>
        <r>
          <rPr>
            <sz val="9"/>
            <color indexed="81"/>
            <rFont val="Tahoma"/>
            <family val="2"/>
          </rPr>
          <t xml:space="preserve">VER ANEXO 1
</t>
        </r>
      </text>
    </comment>
    <comment ref="DQ7" authorId="2" shapeId="0" xr:uid="{00000000-0006-0000-0100-000006000000}">
      <text>
        <r>
          <rPr>
            <b/>
            <sz val="9"/>
            <color indexed="81"/>
            <rFont val="Tahoma"/>
            <family val="2"/>
          </rPr>
          <t>VER ANEXO 1</t>
        </r>
        <r>
          <rPr>
            <sz val="9"/>
            <color indexed="81"/>
            <rFont val="Tahoma"/>
            <family val="2"/>
          </rPr>
          <t xml:space="preserve">
</t>
        </r>
      </text>
    </comment>
    <comment ref="BS9" authorId="3" shapeId="0" xr:uid="{00000000-0006-0000-0100-000007000000}">
      <text>
        <r>
          <rPr>
            <b/>
            <sz val="9"/>
            <color indexed="81"/>
            <rFont val="Tahoma"/>
            <family val="2"/>
          </rPr>
          <t>Si es adicion, valor es positivo(+). Si  es reduccion, valor negativo (-) .</t>
        </r>
      </text>
    </comment>
    <comment ref="BW9" authorId="3" shapeId="0" xr:uid="{00000000-0006-0000-0100-000008000000}">
      <text>
        <r>
          <rPr>
            <b/>
            <sz val="9"/>
            <color indexed="81"/>
            <rFont val="Tahoma"/>
            <family val="2"/>
          </rPr>
          <t>Si es adicion, valor es positivo(+). Si  es reduccion, valor negativo (-) .</t>
        </r>
      </text>
    </comment>
    <comment ref="BS35" authorId="3" shapeId="0" xr:uid="{00000000-0006-0000-0100-000009000000}">
      <text>
        <r>
          <rPr>
            <b/>
            <sz val="9"/>
            <color indexed="81"/>
            <rFont val="Tahoma"/>
            <family val="2"/>
          </rPr>
          <t>Si es adicion, valor es positivo(+). Si  es reduccion, valor negativo (-) .</t>
        </r>
      </text>
    </comment>
    <comment ref="BS68" authorId="3" shapeId="0" xr:uid="{00000000-0006-0000-0100-00000A000000}">
      <text>
        <r>
          <rPr>
            <b/>
            <sz val="9"/>
            <color indexed="81"/>
            <rFont val="Tahoma"/>
            <family val="2"/>
          </rPr>
          <t>Si es adicion, valor es positivo(+). Si  es reduccion, valor negativo (-) .</t>
        </r>
      </text>
    </comment>
    <comment ref="BS78" authorId="3" shapeId="0" xr:uid="{00000000-0006-0000-0100-00000B000000}">
      <text>
        <r>
          <rPr>
            <b/>
            <sz val="9"/>
            <color indexed="81"/>
            <rFont val="Tahoma"/>
            <family val="2"/>
          </rPr>
          <t>Si es adicion, valor es positivo(+). Si  es reduccion, valor negativo (-) .</t>
        </r>
      </text>
    </comment>
  </commentList>
</comments>
</file>

<file path=xl/sharedStrings.xml><?xml version="1.0" encoding="utf-8"?>
<sst xmlns="http://schemas.openxmlformats.org/spreadsheetml/2006/main" count="1394" uniqueCount="802">
  <si>
    <t>INSTRUCTIVO PARA EL DILIGENCIAMIENTO DEL PLAN DE ACCION VIGENCIA 2023</t>
  </si>
  <si>
    <t>PLANTEAMIENTO ESTRATÉGICO PLAN DE DESARROLLO</t>
  </si>
  <si>
    <t>Objetivo de Desarrollo Sostenible</t>
  </si>
  <si>
    <t>Colocar en esta casilla el ODS con que se articula el programa de su competencia, lo encuentra en el acuerdo 027 PDD Salvemos Juntos a Cartagena</t>
  </si>
  <si>
    <t>PILAR</t>
  </si>
  <si>
    <t xml:space="preserve">Colocar en esta casilla el Pilar con el que se articula el programa de su competencia en el PDD Salvemos juntos a Cartagena. </t>
  </si>
  <si>
    <t>LINEA ESTRATEGICA</t>
  </si>
  <si>
    <t>Colocar en esta casilla la linea estrategica  con el que se articula el programa de su competencia en el PDD Salvemos juntos a Cartagena.  Cada producto formulado en el plan de accion debera asociasrse a un objetivo institucional.</t>
  </si>
  <si>
    <t>INDICADOR DE BIENESTAR</t>
  </si>
  <si>
    <t>Colocar en esta casilla es el indicador definido para cumplir la meta de bienestar en el plan de desarrollo, acuerdo 027 Salvemos Juntos a Cartagena</t>
  </si>
  <si>
    <t>LINEA BASE INDICADOR DE BIENESTAR A 2019</t>
  </si>
  <si>
    <t>Colocar en esta casilla el valor que se encuentra en el acuerdo 027 como punto de partida para definir el alcance de la meta de bienestar .</t>
  </si>
  <si>
    <t>DESCRIPCION META DE BIENESTAR 2020-2023</t>
  </si>
  <si>
    <t xml:space="preserve">Colocar en esta casilla  lo que persigue el indicador en el cuatrenio, se encuentra plasmado en el acuerdo 027 salvemos junstos a Cartagena. </t>
  </si>
  <si>
    <t xml:space="preserve"> META DE BIENESTAR 2020-2023</t>
  </si>
  <si>
    <t>Colocar en esta casilla la  cuantificación numérica o porcentual de la meta de bienestar.</t>
  </si>
  <si>
    <t>UNIDAD DE MEDIDA META DE BIENESTAR</t>
  </si>
  <si>
    <t>Colocar en esta casilla la  cifra numérica o porcentual nominativo de la meta.</t>
  </si>
  <si>
    <t>PROGRAMACION META BIENESTAR 2023</t>
  </si>
  <si>
    <t>Colocar en esta casilla  la programación de la meta de bienestar según Plan indicativo.</t>
  </si>
  <si>
    <t>PROGRAMA</t>
  </si>
  <si>
    <t xml:space="preserve">Colocar en esta casilla el nombre de los programas de su competencia articulados con el ODS, Pilar, Linea estrategica, meta de bienestar, en ralacion al acuerdo 027 PDD Salvemos Juntos a Cartagena </t>
  </si>
  <si>
    <t>INDICADOR DE PRODUCTO SEGÚN PDD</t>
  </si>
  <si>
    <t>Colocar en este casilla  el indicador definido para cumplir la meta en el plan de desarrollo según el acuerdo 027 PDD Salvemos juntos a Cartagena.</t>
  </si>
  <si>
    <t>UNIDAD DE MEDIDA DEL INDICADOR DE PRODUCTO</t>
  </si>
  <si>
    <t>Colocar en esta casilla la expresion fisica con que se mostrara el resultado de la meta propuesta ejemplo, numero, porcentaje, kilometro.</t>
  </si>
  <si>
    <t>LINEA BASE 2019 
SEGUN PDD</t>
  </si>
  <si>
    <t xml:space="preserve">Colocar en esta casilla el valor que se encuentra en el acuerdo 027 como punto de partida para definir el alcance de la meta producto.  </t>
  </si>
  <si>
    <t>DESCRIPCION DE LA META PRODUCTO 2020-2023</t>
  </si>
  <si>
    <t xml:space="preserve">Colocar en esta casilla  lo que persigue el indicador en el cuatrenio, se encuentra plasmado en el acuerdo 027 salvemos juntos a Cartagena. </t>
  </si>
  <si>
    <t>DENOMINACION DEL PRODUCTO (bien o servicio)</t>
  </si>
  <si>
    <t>Identificar con una x el  nombre que caracteriza la categoría del producto Bien o servicio y determina puntualmente el tema que se va a desarrollar. Por su esencia misma, los ¿bienes difieren de los servicios en su comportamiento y consecuente formulación.</t>
  </si>
  <si>
    <t>ENTREGABLE
INDICADOR DE PRODUCTO SEGÚN CATALOGO DE PRODUCTO</t>
  </si>
  <si>
    <t>Colocar en esta casilla el producto que se pretende alcanzar identificado en el PDD, homologado al catalogo de productos del DNP.</t>
  </si>
  <si>
    <t>VALOR DE LA META PRODUCTO 2020-2023</t>
  </si>
  <si>
    <t>Colocar en esta casilla el numero de la meta a alcanzar al finalizar el cuatrienio, este se encuentra inmerso en la descripcion de la meta producto  identificado en el PDD.</t>
  </si>
  <si>
    <t>PROGRAMACIÓN META PRODUCTO A 2023</t>
  </si>
  <si>
    <t>Colocar en esta casilla , la cantidad de la meta propuesta para la actual vigencia, relacionada con el plan indicativo.</t>
  </si>
  <si>
    <t>ACUMULADO DE META PRODUCTO 2020- 2022</t>
  </si>
  <si>
    <t>Colocar en esta casilla la cantidad de producto alcanzado en lo que va corrido del cuatrienio.</t>
  </si>
  <si>
    <t>ARTICULACION CON EL MODELO INTEGRADO DE PLANEACION Y GESTION MIPG</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</si>
  <si>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</si>
  <si>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del MIPG</t>
  </si>
  <si>
    <t>Colocar en esta casilla la dimension identificada.
Articular desde la competencia de la dependencia con que dimension se  identifican de las 7 que componen el modelo. Como son:
1. Telento humano.
2. Direccionamiento estrategico.
3. Gestion con valores por resultados.
4. Evaluacion de resultados.
5. Informacion y comunicacion 
6. Gestion del conocimiento.
7. Control interno.</t>
  </si>
  <si>
    <t>Políticas de Gestión y Desempeño Institucional</t>
  </si>
  <si>
    <t>La operación del MIPG se desarrolla mediante el lineamiento de 16 políticas, categorizadas en siete (7) dimensiones soportadas en los principios de la integridad y la legalidad. Por lo que se necesita articular desde la competencia la politica que se desarrollara con la dimension identificada. si no esta inmerso en una de las dimensiones y politicas especificas.  coloca aqui la dimension y la politica institucional con la que te alineastes el proceso cuando lo diseñastes, en el marco de la GESTION POR PROCESO</t>
  </si>
  <si>
    <t>Proceso asociado</t>
  </si>
  <si>
    <t>Cada politica de gestion y desempeño institucional se desarrolla en la dimension escogida mediante un proceso que ha sido documentado de acuerdo al trabajo misional de la dependencia. Por lo que se requiere colocar en esta casilla la descripcion del proceso a partir del cual se desarrolla la politica que su vez pone en funcionamiento la dimension.</t>
  </si>
  <si>
    <t>Objetivo Institucional</t>
  </si>
  <si>
    <t>Coloca aquí el objetivo colocado  en el proceso con el que te articulas. En la gestion por proceso</t>
  </si>
  <si>
    <t>PLAN DE ACCION -INFORMACION DE ACTIVIDADES</t>
  </si>
  <si>
    <t>PROYECTO DE INVERSIÓN</t>
  </si>
  <si>
    <t>Colocar en esta casilla el nombre del proyecto a partir del cual se desarrollara el programa con el que se articula.</t>
  </si>
  <si>
    <t>CÓDIGO DE PROYECTO BPIN</t>
  </si>
  <si>
    <t>Colocar en esta casilla el numero BPIN del proyecto a partir del cual se desarrollara el programa con el que se articula.</t>
  </si>
  <si>
    <t>OBJETIVO DEL PROYECTO</t>
  </si>
  <si>
    <t>Colocar en esta casilla el fin  del proyecto a partir del cual se desarrollara el programa con el que se articula.</t>
  </si>
  <si>
    <t>ACTIVIDADES DE PROYECTO DE INVERSION VIABILIZADAS EN SUIFP
( HITOS )</t>
  </si>
  <si>
    <t>Colocar en esta casilla el listado de actividades  del proyecto a partir del cual se desarrollara el programa con el que se articula. Es importante que este listado de actividades coincida al 100% con las viabilizadas en SUIFP</t>
  </si>
  <si>
    <t>ENTREGABLE</t>
  </si>
  <si>
    <t>Colocar en esta casilla el producto resultante de cada actividad de proyecto a relizar</t>
  </si>
  <si>
    <t xml:space="preserve">PROGRAMACION NUMERICA DE LA ACTIVIDAD PROYECTO 2023
</t>
  </si>
  <si>
    <t>Colocar en esta casilla el numero o pocentaje que se pretende alcanzar con cada actividad del proyecto durante la vigencia.</t>
  </si>
  <si>
    <t>PONDERACION DE LAS ACTIVIDADES (HITOS) DE PROYECTO</t>
  </si>
  <si>
    <t>Colocar en esta casilla el valor porcentual de cada actividad que llevara a conseguir el 100% de la meta propuesta.</t>
  </si>
  <si>
    <t>FECHA DE INICIO DE LA ACTIVIDAD O ENTREGABLE</t>
  </si>
  <si>
    <t>Colocar en esta casilla la fecha de inicio de la actividad en la vigencia 2023</t>
  </si>
  <si>
    <t>FECHA DE TERMINACIÓN DEL ENTREGABLE</t>
  </si>
  <si>
    <t>Colocar en esta casilla la fecha de terminacion  de la actividad en la vigencia 2023</t>
  </si>
  <si>
    <t>TIEMPO DE EJECUCIÓN
(número de días)</t>
  </si>
  <si>
    <t>Colocar en esta casilla el numero de dias que requiere el desarrollo de la actividad en la vigencia 2023</t>
  </si>
  <si>
    <t>PROGRAMACIÓN PRESUPUESTAL</t>
  </si>
  <si>
    <t>BENEFICIARIOS PROGRAMADOS</t>
  </si>
  <si>
    <t>Colocar en esta casilla el numero de personas en la ciudad programadas para recibir beneficio de la actividad programada en el proyecto</t>
  </si>
  <si>
    <t>BENEFICIARIOS CUBIERTOS</t>
  </si>
  <si>
    <t>Colocar en esta casilla el numero de personas en la ciudad que realmente recibieron el beneficio de la actividad programada en el proyecto.  Esta casilla se diligencia con el reporte del trimestre</t>
  </si>
  <si>
    <t>DEPENDENCIA RESPONSABLE</t>
  </si>
  <si>
    <t xml:space="preserve">Nombre de la dependencian responsable </t>
  </si>
  <si>
    <t>NOMBRE DEL RESPONSABLE</t>
  </si>
  <si>
    <t>Nombre de la personaa encargada de supervisar las actividades del proyecto encaminadas a conseguir la meta propuesta.</t>
  </si>
  <si>
    <t>FUENTE DE FINANCIACIÓN</t>
  </si>
  <si>
    <t>Nombre de la fuente de recursos con lo que financiara la actividad</t>
  </si>
  <si>
    <t>PLAN GENERAL DE COMPRAS</t>
  </si>
  <si>
    <t>APROPIACIÓN INICIAL
(en pesos)</t>
  </si>
  <si>
    <t>Valor numerico en pesos  del Plan Operativo anual de inversion asignado al rubro presupuestal.</t>
  </si>
  <si>
    <t>FUENTE PRESUPUESTAL</t>
  </si>
  <si>
    <t xml:space="preserve">Nombre de la fuente origen de los recursos
1. Recursos Propios - ICLD
2. SGP
3. Donaciones
</t>
  </si>
  <si>
    <t>RUBRO PRESUPUESTAL</t>
  </si>
  <si>
    <t>Mencionar el rubro del presupuesto que abarca el sector de su competencia.</t>
  </si>
  <si>
    <t>CODIGO RUBRO PRESUPUESTAL</t>
  </si>
  <si>
    <t>Mencionar el Código numérico que identifica el concepto del Gasto (Funcionamiento, Deuda Inversión) y el cual es definido en el Decreto de Liquidación.</t>
  </si>
  <si>
    <t>¿REQUIERE CONTRATACIÓN?</t>
  </si>
  <si>
    <t>En esta casilla colocar si es necesaria la contratacion</t>
  </si>
  <si>
    <t>DESCRIPCION DE PROCESO DE CONTRATACIÓN</t>
  </si>
  <si>
    <t>Si es necesario la contrtacion descripcion el medio por el cual se hará</t>
  </si>
  <si>
    <t>MODALIDAD DE SELECCIÓN</t>
  </si>
  <si>
    <t>Mencionar la modalidad de contratacion selecionada. Licitacion Publica, concurso de meritos, selección abreviada, minima cuatia, contrtacion directa.</t>
  </si>
  <si>
    <t>FUENTE DE RECURSOS</t>
  </si>
  <si>
    <t>CADA FUENTE ASIGNADA POR EL ACUERDO DE PRESUPUESTO</t>
  </si>
  <si>
    <t>FECHA DE INICIO DE CONTRATACIÓN</t>
  </si>
  <si>
    <t>Fecha tentativa de incio del proceso de contratacion.</t>
  </si>
  <si>
    <t>OBSERVACION O RELACIÓN DE EVIDENCIA</t>
  </si>
  <si>
    <t>Indicar el avance cualitativo de la meta y relación de la evidencia aportada para la verificación de cada reporte</t>
  </si>
  <si>
    <t xml:space="preserve">POLITICA DE ADMINISTRACION DE RIESGOS.
“Función Pública se compromete a administrar adecuadamente los riesgos de
gestión, de corrupción y de seguridad digital, asociados a los objetivos
estratégicos, planes, proyectos y procesos institucionales, acatando la
metodología propia para su gestión, determinando las acciones de control
detectives y preventivas oportunas para evitar la materialización y la actuación
correctiva inmediata ante las eventualidades para mitigar las posibles
consecuencias a fin de mantener los niveles de riesgo aceptables” </t>
  </si>
  <si>
    <t xml:space="preserve">RIESGOS ASOCIADOS AL PROCESO </t>
  </si>
  <si>
    <t xml:space="preserve">Colocar en esta casilla cada uno de los riesgos identificados en el proceso definido, COLOCADO EN LA  COLUMNA W y desarrollado en la caracterizacion de la gestion por proceso.  asociado a las actividades del proyecto. </t>
  </si>
  <si>
    <t>CONTROLES ESTABLECIDOS PARA LOS RIESGOS</t>
  </si>
  <si>
    <t>Colocar en esta casilla cada uno de los controles formulados para cada riesgo identificado en el proceso definido asociado a las actividades del proyecto.</t>
  </si>
  <si>
    <t xml:space="preserve">
</t>
  </si>
  <si>
    <t>ALCALDIA DISTRITAL DE CARTAGENA DE INDIAS</t>
  </si>
  <si>
    <t>Código:PTDGI01-F001</t>
  </si>
  <si>
    <t>MACROPROCESO: PLANEACIÓN TERRITORIAL Y DIRECCIONAMIENTO ESTRATEGICO</t>
  </si>
  <si>
    <t>Versión: 1.0</t>
  </si>
  <si>
    <t>PROCESO / SUBPROCESO: GESTIÓN DE LA INVERSIÓN PUBLICA / GESTIÓN DEL PLAN DE DESARROLLO Y SUS INSTRUMENTOS DE EJECUCIÓN</t>
  </si>
  <si>
    <t>Fecha: 29-12-2022</t>
  </si>
  <si>
    <t xml:space="preserve">FORMATO PLAN DE ACCIÓN </t>
  </si>
  <si>
    <t>Página: 1 de 1</t>
  </si>
  <si>
    <t>DEPENDENCIA : IDER</t>
  </si>
  <si>
    <t xml:space="preserve">ARTICULACION </t>
  </si>
  <si>
    <t xml:space="preserve">EJECUCIÓN PRESUPUESTAL </t>
  </si>
  <si>
    <t>POLITICA DE ADMINISTRACION DE RIESGOS</t>
  </si>
  <si>
    <t xml:space="preserve">PROGRAMA </t>
  </si>
  <si>
    <t xml:space="preserve">LÍNEA BASE </t>
  </si>
  <si>
    <t xml:space="preserve">DENOMINACION DEL PRODUCTO
</t>
  </si>
  <si>
    <t xml:space="preserve">REPORTE META PRODUCTO  ACUMULADO A AGOSTO DE 2023 </t>
  </si>
  <si>
    <t xml:space="preserve">AVANCE DE LA META PRODUCTO AGOSTO  DE 2023  </t>
  </si>
  <si>
    <t xml:space="preserve">AVANCE META PRODUCTO  CUATRENIO AGOSTO  DE 2023  </t>
  </si>
  <si>
    <t xml:space="preserve">REPORTE META PRODUCTO  ACUMULADO A SEPTIEMBRE  DE 2023 </t>
  </si>
  <si>
    <t xml:space="preserve">AVANCE DE LA META PRODUCTO SEPTIEMBRE DE 2023  </t>
  </si>
  <si>
    <t xml:space="preserve">AVANCE META PRODUCTO  CUATRENIO SEPTIEMBRE  DE 2023  </t>
  </si>
  <si>
    <t xml:space="preserve">REPORTE META PRODUCTO  ACUMULADO A OCTUBRE DE 2023 </t>
  </si>
  <si>
    <t xml:space="preserve">AVANCE DE LA META PRODUCTO OCTUBRE DE 2023  </t>
  </si>
  <si>
    <t xml:space="preserve">AVANCE META PRODUCTO  CUATRENIO OCTUBRE  DE 2023  </t>
  </si>
  <si>
    <t xml:space="preserve">REPORTE DE ACTIVIDADES DE PROYECTO  DE AGOSTO  DE 2023 </t>
  </si>
  <si>
    <t xml:space="preserve">AVANCE ACTIVIDAD DEL PROYECTO DE AGOSTO DE 2023  </t>
  </si>
  <si>
    <t xml:space="preserve">AVANCE PROYECTO DE AGOSTO DE  2023 </t>
  </si>
  <si>
    <t xml:space="preserve">REPORTE DE ACTIVIDADES DE PROYECTO  DE SEPTIEMBRE  DE 2023 </t>
  </si>
  <si>
    <t xml:space="preserve">% AVANCE ACTIVIDAD DEL PROYECTO DE SEPTIEMBRE DE 2023  </t>
  </si>
  <si>
    <t xml:space="preserve">% AVANCE PROYECTO DE SEPTIEMBRE DE  2023 </t>
  </si>
  <si>
    <t xml:space="preserve">REPORTE DE ACTIVIDADES DE PROYECTO  DE OCTUBRE DE 2023 </t>
  </si>
  <si>
    <t xml:space="preserve">% AVANCE ACTIVIDAD DEL PROYECTO DE OCTUBRE DE 2023  </t>
  </si>
  <si>
    <t xml:space="preserve">% AVANCE PROYECTO DE  OCTUBRE DE  2023 </t>
  </si>
  <si>
    <t xml:space="preserve">APROPIACION DEFINITIVA IDER A CORTE  DE MARZO  DE 2023 </t>
  </si>
  <si>
    <t>REPORTE EJECUCIÓN PRESUPUESTAL IDER  A CORTE DE MARZO  DE 2023</t>
  </si>
  <si>
    <t>% EJECUCIÓN PRESUPUESTAL IDER  A CORTE MARZO  DE 2023</t>
  </si>
  <si>
    <t>APROPIACION DEFINITIVA A CORTE  DE MARZO  DE 2023 SEGÚN PREDIS</t>
  </si>
  <si>
    <t>REPORTE EJECUCIÓN PRESUPUESTAL A CORTE DE MARZO  DE 2023 SEGÚN PREDIS</t>
  </si>
  <si>
    <t>REPORTE DE  PAGOS   A CORTE MARZO  DE 2023 SEGÚN PREDIS</t>
  </si>
  <si>
    <t xml:space="preserve">% EJECUCIÓN PRESUPUESTAL  A CORTE MARZO  DE 2023 SEGÚN PLANEACION </t>
  </si>
  <si>
    <t xml:space="preserve">% EJECUCIÓN POR PAGOS  A CORTE MARZO  DE 2023 SEGÚN PLANEACION </t>
  </si>
  <si>
    <t xml:space="preserve">APROPIACION DEFINITIVA IDER A CORTE  DE ABRIL  DE 2023 </t>
  </si>
  <si>
    <t>REPORTE EJECUCIÓN PRESUPUESTAL IDER  A CORTE DE ABRIL   DE 2023</t>
  </si>
  <si>
    <t>% EJECUCIÓN PRESUPUESTAL IDER  A CORTE ABRIL   DE 2023</t>
  </si>
  <si>
    <t xml:space="preserve">APROPIACION DEFINITIVA IDER A CORTE  DE MAYO  DE 2023 </t>
  </si>
  <si>
    <t>REPORTE EJECUCIÓN PRESUPUESTAL IDER  A CORTE DE  MAYO   DE 2023</t>
  </si>
  <si>
    <t>% EJECUCIÓN PRESUPUESTAL IDER  A CORTE DE MAYO    DE 2023</t>
  </si>
  <si>
    <t xml:space="preserve">APROPIACION DEFINITIVA IDER A CORTE  DE JUNIO DE 2023 </t>
  </si>
  <si>
    <t>REPORTE EJECUCIÓN PRESUPUESTAL IDER  A CORTE DE  JUNIO   DE 2023</t>
  </si>
  <si>
    <t>% EJECUCIÓN PRESUPUESTAL IDER  A CORTE DE JUNIO  DE 2023</t>
  </si>
  <si>
    <t xml:space="preserve">APROPIACION DEFINITIVA IDER A CORTE  DE JULIO  DE 2023 </t>
  </si>
  <si>
    <t>REPORTE EJECUCIÓN PRESUPUESTAL IDER  A CORTE DE  JULIO   DE 2023</t>
  </si>
  <si>
    <t>% EJECUCIÓN PRESUPUESTAL IDER  A CORTE DE JULIO  DE 2023</t>
  </si>
  <si>
    <t>APROPIACION DEFINITIVA IDER A CORTE  DE AGOSTO  DE 2023</t>
  </si>
  <si>
    <t>REPORTE EJECUCIÓN PRESUPUESTAL IDER  A CORTE DE AGOSTO   DE 2023</t>
  </si>
  <si>
    <t>% EJECUCIÓN PRESUPUESTAL IDER  A CORTE DE AGOSTO  DE 2023</t>
  </si>
  <si>
    <t>APROPIACION DEFINITIVA IDER A CORTE  DE SEPTIEMBRE  DE 2023</t>
  </si>
  <si>
    <t>REPORTE EJECUCIÓN PRESUPUESTAL IDER  A CORTE DE SEPTIEMBRE  DE 2023</t>
  </si>
  <si>
    <t>% EJECUCIÓN PRESUPUESTAL IDER  A CORTE DE SEPTIEMBRE  DE 2023</t>
  </si>
  <si>
    <t>PRESUPUESTAL IDER  A CORTE DE SEPTIEMBRE  DE 2023 pagos según poai</t>
  </si>
  <si>
    <t>% EJECUCIÓN PRESUPUESTAL IDER  A CORTE DE SEPTIEMBRE  DE 2023pagos según poai</t>
  </si>
  <si>
    <t>APROPIACION DEFINITIVA IDER A CORTE  DE OCTUBRE DE 2023</t>
  </si>
  <si>
    <t>REPORTE EJECUCIÓN PRESUPUESTAL IDER  A CORTE DE OCTUBRE DE 2023</t>
  </si>
  <si>
    <t>% EJECUCIÓN PRESUPUESTAL IDER  A CORTE DE OCTUBRE  DE 2023</t>
  </si>
  <si>
    <r>
      <t>OBSERVACION O RELACIÓN DE EVIDENCIA ENERO 2023 -</t>
    </r>
    <r>
      <rPr>
        <b/>
        <sz val="20"/>
        <color theme="8" tint="-0.249977111117893"/>
        <rFont val="Calibri"/>
        <family val="2"/>
        <scheme val="minor"/>
      </rPr>
      <t>https://idergov-my.sharepoint.com/:f:/g/personal/planeacion_ider_gov_co/Eml11OePiWJJn13ezAsCnDgBsULn-u6gcpznQfrNUDmYSQ?e=5XDQIy</t>
    </r>
  </si>
  <si>
    <r>
      <t>OBSERVACION O RELACIÓN DE EVIDENCIA  FEBRERO 2023-</t>
    </r>
    <r>
      <rPr>
        <b/>
        <sz val="20"/>
        <color theme="8" tint="-0.249977111117893"/>
        <rFont val="Calibri"/>
        <family val="2"/>
        <scheme val="minor"/>
      </rPr>
      <t>https://idergov-my.sharepoint.com/:f:/g/personal/planeacion_ider_gov_co/Eml11OePiWJJn13ezAsCnDgBsULn-u6gcpznQfrNUDmYSQ?e=5XDQIy</t>
    </r>
  </si>
  <si>
    <r>
      <t>OBSERVACION O RELACIÓN DE EVIDENCIA  MARZO 2023-</t>
    </r>
    <r>
      <rPr>
        <b/>
        <sz val="20"/>
        <color theme="8" tint="-0.249977111117893"/>
        <rFont val="Calibri"/>
        <family val="2"/>
        <scheme val="minor"/>
      </rPr>
      <t>https://idergov-my.sharepoint.com/:f:/g/personal/planeacion_ider_gov_co/Eml11OePiWJJn13ezAsCnDgBsULn-u6gcpznQfrNUDmYSQ?e=5XDQIy</t>
    </r>
  </si>
  <si>
    <r>
      <t>OBSERVACION O RELACIÓN DE EVIDENCIA ABRIL  2023-</t>
    </r>
    <r>
      <rPr>
        <b/>
        <sz val="20"/>
        <color theme="8" tint="-0.249977111117893"/>
        <rFont val="Calibri"/>
        <family val="2"/>
        <scheme val="minor"/>
      </rPr>
      <t>https://idergov-my.sharepoint.com/:f:/g/personal/planeacion_ider_gov_co/Eml11OePiWJJn13ezAsCnDgBsULn-u6gcpznQfrNUDmYSQ?e=5XDQIy</t>
    </r>
  </si>
  <si>
    <r>
      <t>OBSERVACION O RELACIÓN DE EVIDENCIA DE MAYO DE  2023-</t>
    </r>
    <r>
      <rPr>
        <b/>
        <sz val="20"/>
        <color theme="8" tint="-0.249977111117893"/>
        <rFont val="Calibri"/>
        <family val="2"/>
        <scheme val="minor"/>
      </rPr>
      <t>https://idergov-my.sharepoint.com/:f:/g/personal/planeacion_ider_gov_co/Eml11OePiWJJn13ezAsCnDgBsULn-u6gcpznQfrNUDmYSQ?e=5XDQIy</t>
    </r>
  </si>
  <si>
    <r>
      <t>OBSERVACION O RELACIÓN DE EVIDENCIA DE JUNIO DE  2023-</t>
    </r>
    <r>
      <rPr>
        <b/>
        <sz val="20"/>
        <color theme="8" tint="-0.249977111117893"/>
        <rFont val="Calibri"/>
        <family val="2"/>
        <scheme val="minor"/>
      </rPr>
      <t>https://idergov-my.sharepoint.com/:f:/g/personal/planeacion_ider_gov_co/Eml11OePiWJJn13ezAsCnDgBsULn-u6gcpznQfrNUDmYSQ?e=5XDQIy</t>
    </r>
  </si>
  <si>
    <r>
      <t>OBSERVACION O RELACIÓN DE EVIDENCIA DE JULIO DE  2023-</t>
    </r>
    <r>
      <rPr>
        <b/>
        <sz val="20"/>
        <color theme="8" tint="-0.249977111117893"/>
        <rFont val="Calibri"/>
        <family val="2"/>
        <scheme val="minor"/>
      </rPr>
      <t>https://idergov-my.sharepoint.com/:f:/g/personal/planeacion_ider_gov_co/Eml11OePiWJJn13ezAsCnDgBsULn-u6gcpznQfrNUDmYSQ?e=5XDQIy</t>
    </r>
  </si>
  <si>
    <r>
      <t>OBSERVACION O RELACIÓN DE EVIDENCIA DE AGOSTO  DE  2023-</t>
    </r>
    <r>
      <rPr>
        <b/>
        <sz val="20"/>
        <color theme="8" tint="-0.249977111117893"/>
        <rFont val="Calibri"/>
        <family val="2"/>
        <scheme val="minor"/>
      </rPr>
      <t>https://idergov-my.sharepoint.com/:f:/g/personal/planeacion_ider_gov_co/Eml11OePiWJJn13ezAsCnDgBsULn-u6gcpznQfrNUDmYSQ?e=5XDQIy</t>
    </r>
  </si>
  <si>
    <r>
      <t>OBSERVACION O RELACIÓN DE EVIDENCIA DE SEPTIEMBRE  DE  2023-</t>
    </r>
    <r>
      <rPr>
        <b/>
        <sz val="20"/>
        <color theme="8" tint="-0.249977111117893"/>
        <rFont val="Calibri"/>
        <family val="2"/>
        <scheme val="minor"/>
      </rPr>
      <t>https://idergov-my.sharepoint.com/:f:/g/personal/planeacion_ider_gov_co/Eml11OePiWJJn13ezAsCnDgBsULn-u6gcpznQfrNUDmYSQ?e=5XDQIy</t>
    </r>
  </si>
  <si>
    <r>
      <t>OBSERVACION O RELACIÓN DE EVIDENCIA DE OCTUBRE DE  2023-</t>
    </r>
    <r>
      <rPr>
        <b/>
        <sz val="20"/>
        <color theme="8" tint="-0.249977111117893"/>
        <rFont val="Calibri"/>
        <family val="2"/>
        <scheme val="minor"/>
      </rPr>
      <t>https://idergov-my.sharepoint.com/:f:/g/personal/planeacion_ider_gov_co/Eml11OePiWJJn13ezAsCnDgBsULn-u6gcpznQfrNUDmYSQ?e=5XDQIy</t>
    </r>
  </si>
  <si>
    <t>1. BIEN</t>
  </si>
  <si>
    <t>2- SERVICIO</t>
  </si>
  <si>
    <t>ODS 3 – SALUD Y BIENESTAR: A través de la promoción de hábitos y estilos de vida saludables. Así como, la práctica regular de actividad física para prevenir enfermedades no transmisibles como enfermedades cardiovasculares, presión arterial alta, depresión y diabetes, entre otras</t>
  </si>
  <si>
    <t>PILAR INCLUYENTE</t>
  </si>
  <si>
    <t xml:space="preserve">DEPORTE Y RECREACIÓN CON INCLUISIÓN SOCIAL PARA LA TRASNFORMACIÓN SOCIAL </t>
  </si>
  <si>
    <t>Porcentaje de la población cartagenera vinculadas a las actividades y eventos deportivos, pre deportivos y paralímpicos.</t>
  </si>
  <si>
    <t>Número</t>
  </si>
  <si>
    <t>LA ESCUELA Y EL DEPORTE SON DE TODOS</t>
  </si>
  <si>
    <t>Número de Niños, niñas y adolescentes inscritos en la Escuela de Iniciación y Formación Deportiva</t>
  </si>
  <si>
    <t>Se incrementará a 5.400 niñas, niños, adolescentes inscritos en los diversos niveles de iniciación y formación</t>
  </si>
  <si>
    <t>X</t>
  </si>
  <si>
    <t>1.1 Servicio de Escuelas Deportivas</t>
  </si>
  <si>
    <t xml:space="preserve">Gestión de Valores para Resultados </t>
  </si>
  <si>
    <t xml:space="preserve">Política de Servicio al Ciudadano </t>
  </si>
  <si>
    <t xml:space="preserve">Promoción y Fomento Deporivo </t>
  </si>
  <si>
    <t xml:space="preserve">Brindar a los niños, niñas y adolescentes un programa estructurado de formación en cualquier 
disciplina deportiva para su adecuada evolución en el plano técnico, físico y psicológico, con el fin de 
llevarlos a las etapas superiores de rendimiento, con los resultados esperados. Además, busca 
motivar a todas las personas a practicar el deporte para el desarrollo integral y el mejoramiento de la 
calidad de vida. </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</si>
  <si>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</si>
  <si>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</si>
  <si>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1.1.1 Implementar el nivel 1: Iniciación Deportiva</t>
  </si>
  <si>
    <t>Instituto Distrital de Deporte y Recreación - IDER</t>
  </si>
  <si>
    <t>Viviana Londoño Moreno</t>
  </si>
  <si>
    <t>Inversión</t>
  </si>
  <si>
    <t>SGP</t>
  </si>
  <si>
    <t>DESARROLLO DE LA ESCUELA DE INICIACIÓN Y FORMACIÓN DEPORTIVA - EIFD EN EL DISTRITO DE  CARTAGENA DE INDIAS</t>
  </si>
  <si>
    <t>2.3.4301.1604.2020130010053</t>
  </si>
  <si>
    <t>Si</t>
  </si>
  <si>
    <t>Contratatación de prestación de servicios profesionale y/o de apoyo a la gestión del equipo de trabajo que ejecutará las actividades del proyecto</t>
  </si>
  <si>
    <t>Contratación directa</t>
  </si>
  <si>
    <t>Teniendo en cuenta el Plan de Acción del año 2023, se inicia la contratación del equipo de EIFD a partir del 16 de enero de manera parcial, se inicia con la revisión de la planificación para esta vigencia, con sus metas y retos que asumiremos como proyecto.
En este periodo, se inició una contratación parcial del equipo de trabajo de EIFD, para la coordinación y  organización del plan de trabajo del año 2023.  Contado con el personal: 
1.	José Paola Morales
2.	Juan Carlos Camelo 
3.	Samira Miranda 
4.	Fredith Tovar 
5.          Angie Manjarrez
Se espera que a la primera semana del mes de febrero se continúen con las contrataciones y poder tener la totalidad del equipo para el inicio de las actividades programadas. 
Reuniones y mesas de trabajo para planificar el desarrollo y las acciones enmarcadas en el  Plan de Acción vigencia 2023.</t>
  </si>
  <si>
    <t xml:space="preserve">Teniendo en cuenta el plan de acción del año 2023 se realizó la contratación de todo el equipo de EIFD, se inicia con la revisión de la planificación para esta vigencia, con sus metas y retos que asumiremos como proyecto.
Se lo logro la contratación de todo el personal del equipo de docentes y apoyos administrativo y psicosocial de EIFD, para la coordinación y  organización del plan de trabajo del año 2023.  
Reunión con dirección, jefe de fomento deportivo, jefe de área y equipo de trabajo, para revisar el calendario de trabajo, las fechas de las distintas actividades.
Reuniones con el equipo coordinación pedagógico e interdisciplinario que para organización y revisión de las metas y cronograma de trabajo para esta vigencia.
Inicio y procesos de inscripción para todas las niñas, niños y adolescentes que deseen ser parte de la escuela de iniciación y formación deportiva. El proceso de inscripción se estará realizando por medio de la página web y en las oficinas de EIFD.  Se incribieron a 11.233 A 28 de febrero de 2023 distrinuidos en las tres localidades .  Aciertos en el mes de febrero de 2023 :  	Rotaciones de los docentes en los diferentes puntos (núcleos, énfasis y perfeccionamiento), 	Visitas de control y seguimientos a los diferentes puntos del programa por parte de los coordinadores, 	Reuniones de inducción y reinducción del equipo de deporte,  
	Reunión semanal con el equipo EIFD , 	Atención a la oficina 	Participación en la mesa de trabajo en la construcción de la política pública del deporte en el distrito de Cartagena, 	Asistencia a las mesas programadas para el fortalecimiento del programa con los presidentes de junta de acciones comunales y lideres.  Conclusiones de Febrero de 2023: Podemos concluir que este mes de febrero se realiza oficialmente la apertura de la EIFD el 1 de febrero con las inscripciones en la página web de los deportista nuevos, y la asistencia de los NNA el 7 del mes en curso, con la socialización y empalmes de los cambios que se presentaron en los diferentes núcleos, énfasis y perfeccionamiento, cabe resaltar que se viene realizando las visitas, atenciones y recepciones de documentación de los padres de familia nuevos y presidentes de JAC y lideres sociales de las comunidades. Se recibió la implementación que se adquirió el año 2022 que será revisada y entregada a los docentes para su cumplimiento de actividades pedagógicas.
</t>
  </si>
  <si>
    <t xml:space="preserve">1. Presentar el avance de la meta, acumulado a la fecha de corte, señalando la magnitud alcanzada en el periodo y los resultados relevantes que se generan con lo ejecutado. Enunciar los beneficios que trae consigo la gestión realizada. 2.Avances: se inicia este año con la población del año 2022 que se apertura la jornada de inscripciones para niños nuevos en las etapas de iniciación y formación  3.Perifoneas en las comunidades y divulgaciones con las juntas de acciones comunales  4.Socializaciones con las comunidades en los nuevos puntos que se apertura en el año 2023 que nos permitiría cumplir con la meta trazada para el cuatrenio. 5. Se incrementa para este año 2023 en las etapas de iniciación y formación en 3.941 NN nuevos alcanzando el 100% de la meta Beneficios: mayor presencia en las comunidades . 6. Con la apertura de los dos nuevos puntos, se verán beneficiadas las comunidades de Olaya sector central y el corregimiento de Manzanillo. 6. Se crearon 2 (dos ) núcleos nuevos como lo son: Olaya -Sector Central y Manzanillo del Mar. </t>
  </si>
  <si>
    <t xml:space="preserve">
El total de los niños inscritos en la EIFD a corte del mes de abril mas los nuevos del 1P- 2022 sin deserción corersponden a 15,663.                                                                                                        En el 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 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escuela.En esta etapa de énfasis no se presenta incremento en la meta, debido que se estábamos en proceso la jornada de inscripciones en los núcleos de iniciación y formación deportiva. para continuar con las remisiones de los estudiantes antiguos a los diferentes deportes.
Por otra parte, estamos realizando clínicas deportivas que permita a los docentes las herramientas para el traslado de NN a los diferentes énfasis.Perfeccionamiento (IV) se inicia el proceso de entrenamiento sistemático progresivo donde intervienen todos los cambios fisiológicos, psíquicos, funcionales y físicos del atleta, para lograr un rendimiento deportivo en la disciplina, donde la fase técnica, táctica,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
</t>
  </si>
  <si>
    <r>
      <t xml:space="preserve">
El total de los niños inscritos en la EIFD a corte del mes de abril mas los nuevos del 1P- 2022 sin deserción corersponden a 15,663.    La cifra final a 15 de mayo de 2023 de los niños, niñas y adolescentes beneficiados en los núcleos es de 12.786 de acuerdo al informe de deserción.   A corte 20 de mayo se reporta:</t>
    </r>
    <r>
      <rPr>
        <b/>
        <u/>
        <sz val="20"/>
        <color theme="1"/>
        <rFont val="Calibri"/>
        <family val="2"/>
        <scheme val="minor"/>
      </rPr>
      <t xml:space="preserve"> Avances:</t>
    </r>
    <r>
      <rPr>
        <sz val="20"/>
        <color theme="1"/>
        <rFont val="Calibri"/>
        <family val="2"/>
        <scheme val="minor"/>
      </rPr>
      <t xml:space="preserve">
-	Perifoneas en las comunidades y divulgaciones con las juntas de acciones comunales 
-	Socializaciones con las comunidades en los nuevos puntos que se apertura en el año 2023 que nos permitiría cumplir con la meta trazada para el     cuatreño
-	Se incrementa para este mes los NNA nuevos en las etapas de iniciación y formación alcanzando un número de 4.383 nuevos superando la meta trazada que permite seguir impactando en las comunidades
-	Se realizó cierre de inscripciones el día 31 de marzo del año en curso 
-	Seguimos trabajando en la recepción de la documentación en la oficina de escuela para legalización del mismo en el programa
-	Se realizó la verificación de base de dato en conjunto con los docentes para poder obtener el estado de esta, que nos permitió la deserción de los usuarios que por diferentes motivos no se encuentran en la escuela.
-	A pesar de las cifras que se presentaron en la deserción, se mantiene un número significativo de deportista que nos permite mantener una buena            operativa de la escuela.
-	Las diferentes variables que nos arrojó el informe de la deserción nos permitieron identificar y elaborar las estrategias para mitigar la misma.
    </t>
    </r>
    <r>
      <rPr>
        <b/>
        <u/>
        <sz val="20"/>
        <color theme="1"/>
        <rFont val="Calibri"/>
        <family val="2"/>
        <scheme val="minor"/>
      </rPr>
      <t xml:space="preserve">          Beneficios: </t>
    </r>
    <r>
      <rPr>
        <sz val="20"/>
        <color theme="1"/>
        <rFont val="Calibri"/>
        <family val="2"/>
        <scheme val="minor"/>
      </rPr>
      <t xml:space="preserve">
-	Mayor presencia en las comunidades
-	Aceptación del programa en las comunidades 
-	Mayor cobertura en ciudad de Cartagena con la apertura de los dos nuevos puntos, se verán beneficiadas las comunidades de Olaya sector central, el corregimiento de Manzanillo y el punto de villa de Aranjuez 
-	Implementar las estrategias que mitiguen la deserción de los estudiantes
-	Mayor control y seguimiento en los diferentes puntos                                                                                                     
</t>
    </r>
  </si>
  <si>
    <r>
      <t xml:space="preserve">
</t>
    </r>
    <r>
      <rPr>
        <b/>
        <u/>
        <sz val="20"/>
        <color theme="1"/>
        <rFont val="Calibri"/>
        <family val="2"/>
        <scheme val="minor"/>
      </rPr>
      <t xml:space="preserve">A corte 20 de junio se reporta: </t>
    </r>
    <r>
      <rPr>
        <sz val="20"/>
        <color theme="1"/>
        <rFont val="Calibri"/>
        <family val="2"/>
        <scheme val="minor"/>
      </rPr>
      <t xml:space="preserve">
Para este periodo se trabajó en la depuración de la base de datos de los procesos de inscripción que se dieron es este primer semestre del año 2023. Para la apertura de los nuevos puntos se han adelantado gestiones traducidas en articulaciones con las juntas de acción comunal, líderes, instituciones educativas, visitas a los diferentes barrios, así como caracterización de la población a beneficiar.
Apertura la jornada de inscripciones para niños nuevos en las etapas de iniciación y formación 
Perifoneas en las comunidades y divulgaciones con las juntas de acciones comunales 
Socializaciones con las comunidades en los nuevos puntos que se apertura en el año 2023 que nos permitiría cumplir con la meta trazada para el cuatreño
Se incrementa para este año 2023 en las etapas de iniciación y formación en 4.383 NNA nuevos alcanzando el 100% de la meta  
Recepción de documentación en las oficinas de estudiantes nuevos para la legalización de los mismos dentro del programa 
Se realizó la deserción de la base de dato de la escuela
Se identificaron las variables que nos arrojó el cotejo de esta 
Se implementaron estrategias que permitan la continuidad y la fidelización de los inscritos 
Se realizaron las reuniones semanales con el equipo, que nos permite escuchar y mejorar la operatividad de la escuela 
Atención en la comunidad de villa de Aranjuez para inscripciones de deportista que no pudieron realizar la misma.
Socialización en los diferentes núcleos, sobre la importancia del trabajo en equipo 
Se viene participando en los intercambios organizados por el equipo pedagógico de la Escuela 
Visitas de seguimiento a los diferentes puntos para control y recepción de información por parte de los usuarios 
Talleres del equipo psicosocial dirigidos a padres de familia y niños . Se desarrollan los procesos de formación deportiva en el nivel 1 de iniciación, con los niños y las niñas que se encuentran inscriptos. Los docentes realizan sus entrenamientos habituales en las jornadas y escenarios establecidos, de acuerdo a los planes pedagógicos que fortalecen el desarrollo sicomotor  adecuado a sus edades. Se mantiene el promedio de NNA en1972 beneficiarios. Se desarrollan los procesos de formación deportiva en el nivel 2 de iniciación, con los niños y las niñas que se encuentran inscriptos. Los docentes realizan sus entrenamientos habituales en las jornadas y escenarios establecidos, de acuerdo a los planes pedagógicos que fortalecen el desarrollo sicomotor  adecuado a sus edades. Se mantiene el promedio de NNA en 2411 beneficiarios.   Finalizo los procesos de inscripción, así mismo el proceso de remisiones de los estudiantes antiguos a los diferentes énfasis deportivos. Logrando un promedio de 73 beneficiarios.   e realizó el proceso de remisiones de los estudiantes antiguos al nivel de perfeccionamiento deportivos. Logrando un promedio de 7116 beneficiarios.   
</t>
    </r>
  </si>
  <si>
    <r>
      <rPr>
        <b/>
        <u/>
        <sz val="20"/>
        <color theme="1"/>
        <rFont val="Calibri"/>
        <family val="2"/>
        <scheme val="minor"/>
      </rPr>
      <t>A corte 20 de julio se reporta:</t>
    </r>
    <r>
      <rPr>
        <sz val="20"/>
        <color theme="1"/>
        <rFont val="Calibri"/>
        <family val="2"/>
        <scheme val="minor"/>
      </rPr>
      <t xml:space="preserve">
 Se realizó la verificación de base de dato en conjunto con los docentes para poder obtener el estado de esta, que nos permitió la deserción de los usuarios que por diferentes motivos no se encuentran en la escuela. A pesar de las cifras que se presentaron en la deserción, se mantiene un número significativo de deportista que nos permite mantener una buena operativa de la escuela. Las diferentes variables que nos arrojó el informe de la deserción nos permitieron identificar y elaborar las estrategias para mitigar las mismas. Realización de escuela de padres, con el objetivo de consolidar e integrar las familias. Recorrido de independencia de Colombia en el marco de la conmemoración del 20 de julio. Se proyecta en el segundo semestre del año 2023 iniciar la convocatoria para las inscripciones de la EIFD. Para este corte se continúa con las clases y prácticas deportivas habituales.
Se programa una nueva jornada de inscripción para el segundo semestre del año 2023.</t>
    </r>
    <r>
      <rPr>
        <b/>
        <u/>
        <sz val="20"/>
        <color theme="1"/>
        <rFont val="Calibri"/>
        <family val="2"/>
        <scheme val="minor"/>
      </rPr>
      <t xml:space="preserve">A corte 20 de Julio se reporta: </t>
    </r>
    <r>
      <rPr>
        <sz val="20"/>
        <color theme="1"/>
        <rFont val="Calibri"/>
        <family val="2"/>
        <scheme val="minor"/>
      </rPr>
      <t>El equipo Psicosocial organizo y realizo la primera Escuela para Padres, donde se obtuvo una asistencia de 100 padres de familias y/o cuidadores, con el objetivo de fortalecer la integración familiar para el buen desarrollo afectivo y psicológico de nuestros NNA. 
Se realizaron jornadas de acompañamiento psicosociales, talleres prácticos, charlas, dinámicas de grupo en cada uno de los puntos de los niveles de la EIFD. Procesos de intervención y atención de casos específicos 
Asistencia y participación en las mesas interinstitucionales.</t>
    </r>
  </si>
  <si>
    <r>
      <t xml:space="preserve"> </t>
    </r>
    <r>
      <rPr>
        <b/>
        <u/>
        <sz val="20"/>
        <color theme="1"/>
        <rFont val="Calibri"/>
        <family val="2"/>
        <scheme val="minor"/>
      </rPr>
      <t xml:space="preserve">A corte 20 de agosto se reporta: </t>
    </r>
    <r>
      <rPr>
        <sz val="20"/>
        <color theme="1"/>
        <rFont val="Calibri"/>
        <family val="2"/>
        <scheme val="minor"/>
      </rPr>
      <t xml:space="preserve">
Se inicio con la segunda jornada de inscripción para este segundo semestre del año para los núcleos en las edades de 6 a 12 años. La cual inicio el 01 de agosto hasta el 15 de septiembre.  
Se realizo perifoneo en las comunidades y divulgaciones con las juntas de acción comunal para promocionar la oferta del segundo semestre del año 2023
Recepción de la documentación en la oficina de escuela para legalización de los mismo en el programa. Seguimiento y control por parte del equipo de coordinadores pedagógicos y la supervisión para el cumplimiento de las metas propuestas por el proyecto.
Apoyo a actividades organizada por la escuela y las institucionales,Inicio de clínica de deportes de combate parte teórica . A 31 de agosto de 2023 contamos con 14.416 niñas, niños y adolescentes  beneficiados.
</t>
    </r>
  </si>
  <si>
    <r>
      <t xml:space="preserve">Para este periodo se reporta el cierre de inscripción del segundo semestre del año en curso, obteniendo un total de 2.230 NNA en las etapas de iniciación y formación deportiva. De esta manera se refleja el cumplimiento de la meta establecida para esta vigencia.
</t>
    </r>
    <r>
      <rPr>
        <b/>
        <u/>
        <sz val="20"/>
        <color theme="1"/>
        <rFont val="Calibri"/>
        <family val="2"/>
        <scheme val="minor"/>
      </rPr>
      <t xml:space="preserve">A corte 20 de septiembre se reporta: </t>
    </r>
    <r>
      <rPr>
        <sz val="20"/>
        <color theme="1"/>
        <rFont val="Calibri"/>
        <family val="2"/>
        <scheme val="minor"/>
      </rPr>
      <t xml:space="preserve">
finalizo la segunda jornada de inscripción para este segundo semestre del año para los núcleos en las edades de 6 a 12 años. La cual inicio el 01 de agosto hasta el 15 de septiembre.  
Recepción de la documentación en la oficina de escuela para legalización de los mismo en el programa.
Seguimiento y control por parte del equipo de coordinadores pedagógicos y la supervisión para el cumplimiento de las metas propuestas por el proyecto.
Apoyo a actividades organizada por la escuela y las institucionales 1.	Articulaciones con JAC, Líderes comunales e instituciones educativas para masificación, caracterización y apertura de inscripciones del segundo semestre del año en curso. 
2.	Entrega de implementación, socialización del uso y cuidados de estos. 
3.	Visitas de seguimiento, control y supervisiones a los diferentes núcleos, énfasis y perfeccionamiento.
4.	Intercambio deportivo entre los corregimientos de la boquilla y bocachica. 
5.	Participación en las mesas de articulación interinstitucionales – CIETI, Casa de la Mujer secretaria de participación, Defensoría del Pueblo (violencia de genero), secretaria del Interior. Apoyo y participación a las actividades institucionales, ciclovía dominical 
6.	Apoyo a proceso de Inscripciones y recepciones de documentación de los NNA nuevos que se vinculan para este segundo semestre año 2023
7.	Seguimientos a los casos específicos reportados por los docentes y padres de familia y visitas domiciliarias 
8.	Reuniones periódicas (semanales) con el equipo de EIFD para la planificación estratégica de las actividades propuestas desde el programa para cada uno de sus niveles y actividades. </t>
    </r>
  </si>
  <si>
    <r>
      <rPr>
        <b/>
        <u/>
        <sz val="20"/>
        <color theme="1"/>
        <rFont val="Calibri"/>
        <family val="2"/>
        <scheme val="minor"/>
      </rPr>
      <t xml:space="preserve">A corte 20 de octubre se reporta: </t>
    </r>
    <r>
      <rPr>
        <sz val="20"/>
        <color theme="1"/>
        <rFont val="Calibri"/>
        <family val="2"/>
        <scheme val="minor"/>
      </rPr>
      <t xml:space="preserve">
Se realizó la verificación de base de dato en conjunto con los docentes para poder obtener el estado de esta, que nos permitió la deserción de los usuarios que por diferentes motivos no se encuentran en la escuela.
A pesar de las cifras que se presentaron en la deserción, se mantiene un número significativo de deportista que nos permite mantener una buena operativa de la escuela.Se continúa con el desarrollo de los procesos de formación deportiva en el nivel 1 de iniciación, con los niños y las niñas que se encuentran inscriptos. Los docentes realizan sus entrenamientos habituales en las jornadas y escenarios establecidos, de acuerdo a los planes pedagógicos que fortalecen el desarrollo sicomotor adecuado a sus edades. Además se realizaron actividades como ;                                                                                                              1.	Articulaciones con JAC, Líderes comunales e instituciones educativas para masificación, caracterización y apertura de inscripciones del segundo semestre del año en curso. 
2.	Entrega de implementación, socialización del uso y cuidados de estos. 
1.	Visitas de seguimiento, control y supervisiones a los diferentes núcleos, énfasis y perfeccionamiento.
2.	Intercambio deportivo entre cada nivel de formacion. 
3.	Participación en las mesas de articulación interinstitucionales – CIETI, Casa de la Mujer secretaria de participación, Defensoría del Pueblo (violencia de genero), secretaria del Interior. Apoyo y participación a las actividades institucionales, ciclovía dominical 
4.	Apoyo a proceso de Inscripciones y recepciones de documentación de los NNA nuevos que se vinculan para este segundo semestre año 2023
5.	Seguimientos a los casos específicos reportados por los docentes y padres de familia y visitas domiciliarias 
6.	Reuniones periódicas (semanales) con el equipo de EIFD para la planificación estratégica de las actividades propuestas desde el programa para cada uno de sus niveles y actividades. 
7.	Organización y preparación de los eventos programados (cabildo y clausura) 8. Se realizaron talleres psicosociales donde se desarrollaron temas como la prevención de abuso sexual, conductas suicidas y violencia, en cada uno de los puntos de énfasis, perfeccionamiento e iniciación.	9. Detección de las necesidades para taller en intervenciones futuras.  
	10. Supervisión y apoyo a prácticas profesionales en psicología (Universidad San buenaventura y Unisinu)
	11. Se realizaron actividades en conmemoración del mes ROSA - Lucha contra el Cáncer de Mamas
	12, Se realizaron actividades en conmemoración del día mundial de la salud mental </t>
    </r>
  </si>
  <si>
    <t xml:space="preserve">Posible incumplimiento del proceso  en la entrega  de los resultados planificados teniendo en cuenta el Plan de Desarrollo Distrital </t>
  </si>
  <si>
    <t>Se hace seguimiento a los indicadores de cumplimiento , se realizan mesas de trabajo y se socilitan entregas parciales, se establecen actas de compromiso.</t>
  </si>
  <si>
    <t>1.1.2 Implementar el nivel 2: Formación Deportiva</t>
  </si>
  <si>
    <t>Recursos propios</t>
  </si>
  <si>
    <t>1.1.3 Implementar el nivel 3: Enfasis Deportivo</t>
  </si>
  <si>
    <t>1.1.4 Implementar el nivel 4: Perfeccionamiento Deportivo</t>
  </si>
  <si>
    <t>2.1 Servicio de promoción de la actividad física, la recreación y el deporte</t>
  </si>
  <si>
    <t>2.1.2 Sistematizar la vinculación de los niños, niñas y adolescentes pertenecientes a la Escuela de Formación Deportiva</t>
  </si>
  <si>
    <t>Nivel I (6-8 años), también denominado Iniciación, los contenidos que se desarrollan buscan fortalecer las habilidades motrices básicas del ser humano y la fundamentación de las diferentes disciplinas deportivas, utilizando el juego como herramienta pedagógica. Lo anterior se fundamenta en la necesidad de que los usuarios consoliden capacidades básicas en términos motrices que le ayuden en la práctica deportiva.Nivel II - Formación (9-12 años), comparte los mismos propósitos y objetivos del nivel de Iniciación, con la diferencia que las actividades se centran en la aplicación de un mayor esfuerzo, es decir, que las actividades se mantienen y solo se incrementa la intensidad con la que se ejecutan. En términos agrupados los Niveles I y II también se les conoce como Núcleo, teniendo en cuenta que estos niveles se ejecutan por núcleos de atención de manera conjunta, en escenarios deportivos menores e igualmente por la similaridades en los contenidos pedagógicos. Énfasis Deportivo (Nivel III) se desarrollan los fundamentos básicos de las diferentes disciplinas deportivas, está constituido por dos niveles (Énfasis I y II). Para el Énfasis I se desarrollan los fundamentos técnicos de cada deporte y para el Énfasis II se da la consolidación de la técnica básica haciendo señalamiento en las diferentes disciplinas deportivas con proyección a competencias Inter – escuela.Perfeccionamiento (IV) se inicia el proceso de entrenamiento sistemático progresivo donde intervienen todos los cambios fisiológicos, psíquico, funcional y físico del atleta, para lograr un rendimiento deportivo en la disciplina, donde la fase técnico, táctico, teórico y la preparación física se analiza como un todo, buscando la forma deportiva en la competencia fundamental.
Esta estructura pedagógica, se erige con la intención de desarrollar de manera progresiva capacidades deportivas en los usuarios de la EIFD, iniciando con aspectos básicos de formación que permitirán a cada participante encontrar la disciplina adecuada a sus preferencias y capacidades, aspectos que fortalecerán la constitución de un sistema deportivo sólido que aportara al desarrollo integral de la ciudadanía cartagenera.</t>
  </si>
  <si>
    <t>2.1.3 Realizar acompañamiento psicosocial a los niños, niñas, adolescentes y padres pertenecientes a la Escuela de Formación Deportiva</t>
  </si>
  <si>
    <t>2.1.4 Divulgar las acciones y actividades desarrolladas en el proyecto</t>
  </si>
  <si>
    <t>3.1 Servicio de organización de eventos deportivos comunitarios</t>
  </si>
  <si>
    <t>3.1.4 Realizar encuentros deportivos para la participación de los niños, niñas y adolescentes pertenecientes a la Escuela de Formación Deportiva</t>
  </si>
  <si>
    <t>Se realizaron los siguientes eventos o actividades : 1.Visitas de seguimiento, control y supervisiones a los diferentes núcleos, énfasis y perfeccionamiento. 2.Clínica de futbol en el estadio Jaime Morón el 1 de marzo a cargo de los docentes de énfasis futbol 3.Articulaciones con JAC para el fortalecimiento de los núcleos (Luis Carlos Galán, San Fernando Sector Medellín, Olaya Sector Estela, Líbano Sector Acapulco, Manzanillo Del Mar (Punto Nuevo) Olaya Sector Central (Punto Nuevo), Caracoles, San Jose obrero, así como jornadas de inscripción y caracterización de la población. 4.	Apoyo a proceso de Inscripciones y recepciones de documentación de los NN nuevos que se vincular para este año 2023.</t>
  </si>
  <si>
    <t xml:space="preserve">Número de núcleos de Escuela de Iniciación y Formación Deportivo creados </t>
  </si>
  <si>
    <t>Incrementar a 54 los núcleos para masificar la práctica del deporte en las comunidades del Distrito de Cartagena de Indias</t>
  </si>
  <si>
    <t>2.1.1 Aumentar el número de núcleos de atención en los niveles 1 y 2 de iniciación y formación deportiva</t>
  </si>
  <si>
    <t>N/A</t>
  </si>
  <si>
    <t xml:space="preserve">Contratatación de prestación de servicios profesionale y/o de apoyo a la gestión del equipo de trabajo que ejecutará las actividades del proyecto
Adquisición de uniformes e implementación deportiva a través de Secop II y bolsa mercantil </t>
  </si>
  <si>
    <t xml:space="preserve">Contratación directa
Selección abreviada a través de la Bolsa Mercantil 
</t>
  </si>
  <si>
    <t>Recursos propios, SGP</t>
  </si>
  <si>
    <t xml:space="preserve">1. Avances: Para la apertura de los nuevos puntos se han adelantado gestiones traducidas en articulaciones con las juntas de acción comunal, lideres, instituciones educativas, visitas a los diferentes barrios, así como caracterización de la población a beneficiar. 2. apertura la jornada de inscripciones para niños nuevos en las etapas de iniciación y formación . 3.	Perifoneas en las comunidades y divulgaciones con las juntas de acciones comunales 
4. Socializaciones con las comunidades en los nuevos puntos que se apertura en el año 2023 que nos permitiría cumplir con la meta trazada para el cuatrenio. Se realizaron además las sidguientes actividades:1.Articulaciones con JAC, Lideres comunales e instituciones educativas para masificación, caracterización y apertura de núcleo Olaya sector Estela.2.	articulaciones con JAC, Lideres comunales e instituciones educativas para masificación, caracterización y apertura de núcleo Olaya sector Central.3.	Articulaciones con JAC, Lideres comunales e instituciones educativas para masificacion, caracterizacion y apertura de nucleo Corregimiento Manzanillo del Mar.4.Entrega de implementación, socialización del uso y cuidados de estos. </t>
  </si>
  <si>
    <t xml:space="preserve">Para la apertura de los nuevos puntos se han adelantado gestiones traducidas en articulaciones con las juntas de acción comunal, líderes, instituciones educativas, visitas a los diferentes barrios, así como caracterización de la población a beneficiar.-apertura la jornada de inscripciones para niños nuevos en las etapas de iniciación y formación.-	Perifoneas en las comunidades y divulgaciones con las juntas de acciones comunales .-	Socializaciones con las comunidades en los nuevos puntos que se apertura en el año 2023 que nos permitiría cumplir con la meta trazada para el cuatreño. -Se incrementa para este año 2023 en las etapas de iniciación y formación en 4.383 NN nuevos. -Recepción de documentación en las oficinas de estudiantes nuevos para la legalización de los mismo dentro del programa. Se creo un nuevo núcleo el de Villa de Aranuez para un total de 55 núcleos en el año 2023. En el mes de marzo se crearon dos nuevos núcleos : Olaya Herrera sector Central  y Manzanillo del Mar. </t>
  </si>
  <si>
    <t xml:space="preserve">J.	Presentar el avance de la meta, acumulado a la fecha de corte, señalando la magnitud alcanzada en el periodo y los resultados relevantes que se 
Articulaciones con JAC para el fortalecimiento de los núcleos (Luis Carlos Galán, San Fernando Sector Medellín, Olaya Sector Estela, Líbano Sector Acapulco, Manzanillo Del Mar (Punto Nuevo) Olaya Sector Central (Punto Nuevo), Caracoles, San José obrero, así como jornadas de inscripción y caracterización de la población.
Se apertura el núcleo de (Punto nuevo) Villa de Aranjuez, el cual se estará realizando atención 2 días por semanas en las jornadas am y pm, obteniendo una connotación de Núcleo Irregular, ya que los demás, su atención es de 3 días en las dos jornadas correspondientes </t>
  </si>
  <si>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t>
    </r>
  </si>
  <si>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
</t>
    </r>
  </si>
  <si>
    <r>
      <rPr>
        <b/>
        <u/>
        <sz val="20"/>
        <color theme="1"/>
        <rFont val="Calibri"/>
        <family val="2"/>
        <scheme val="minor"/>
      </rPr>
      <t>A corte 20 de junio se reporta</t>
    </r>
    <r>
      <rPr>
        <sz val="20"/>
        <color theme="1"/>
        <rFont val="Calibri"/>
        <family val="2"/>
        <scheme val="minor"/>
      </rPr>
      <t>: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 Contamos  con 12.785 niñas, niños, adolescentes beneficiados a través de los 55 núcleos en las tres localidades.</t>
    </r>
  </si>
  <si>
    <r>
      <t xml:space="preserve">Se realizo el evento de intercambio deportivo, realizado en los corregimientos de la boquilla y bocachica. Con actividades recreo deportivas fundamentadas en playa para fortalecimiento del proceso de formación en los NNA de la EIFD. </t>
    </r>
    <r>
      <rPr>
        <b/>
        <u/>
        <sz val="20"/>
        <color theme="1"/>
        <rFont val="Calibri"/>
        <family val="2"/>
        <scheme val="minor"/>
      </rPr>
      <t>A corte 20 de junio se reporta:</t>
    </r>
    <r>
      <rPr>
        <sz val="20"/>
        <color theme="1"/>
        <rFont val="Calibri"/>
        <family val="2"/>
        <scheme val="minor"/>
      </rPr>
      <t xml:space="preserve">
Se apertura enlace para la comunidad de villa de Aranjuez para facilitar el proceso de inscripciones de los mismo, ya que el punto no estaba habilitado al inicio de inscripciones.
Se sigue socializando con las comunidades de las diferentes actividades que se vienen para el programa.
Se están implementando las estrategias para mitigar las deserciones y la fidelización de los usuarios ya inscritos. Contamos  con 12.785 niñas, niños, adolescentes beneficiados a través de los 55 núcleos en las tres localidades.
</t>
    </r>
  </si>
  <si>
    <t xml:space="preserve">Número de participantes en los torneos del deporte estudiantil </t>
  </si>
  <si>
    <t xml:space="preserve">Se mantendrán en 10.176 los participantes en los diferentes torneos de las instituciones educativas y las universidades </t>
  </si>
  <si>
    <t>x</t>
  </si>
  <si>
    <t>1.1 Servicio de promoción de la actividad física, la recreación y el deporte</t>
  </si>
  <si>
    <t xml:space="preserve">Desarrollar la realización torneos o eventos al interior de las instituciones educativas y universidades 
en el distrito de Cartagena de Indias, en procura de que las niñas, niños y adolescentes se diviertan, 
se integren, aprendan a cuidar y mejorar su capacidad física, eleven su autoestima, creen hábitos 
saludables y desarrollen diversas habilidades. Este programa se desarrolla en articulación con la 
Secretaría de Educación y las Instituciones Educativas del Distrito.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</si>
  <si>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</si>
  <si>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</si>
  <si>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Desarrollar jornadas de inscripción de las Instituciones Educativas en los juegos intercolegiados</t>
  </si>
  <si>
    <t>FORTALECIMIENTO DEL DEPORTE ESTUDIANTIL MEDIANTE LA IMPLEMENTACIÓN DE LOS JUEGOS INTERCOLEGIADOS Y UNIVERSITARIOS EN EL DISTRITO DE   CARTAGENA DE INDIAS</t>
  </si>
  <si>
    <t>2.3.4301.1604.2020130010194</t>
  </si>
  <si>
    <t xml:space="preserve">1.	Se inicio la contratación del personal, conformado el equipo de trabajo de Deporte Estudiantil. Esto se realizó entre las fechas del 14 al 24 de enero del 2022.      2.Reunión con los coordinadores de programa y con el jefe de área, donde se dieron los detalles que encaminan a las funciones específicas del cargo y el plan de comunicación. 
3.	Se trabajo en la revisión y organización del cronograma de trabajo para la vigencia 2023. </t>
  </si>
  <si>
    <t xml:space="preserve">1.	Se inicio la contratación del personal, conformado el equipo de trabajo de Deporte Estudiantil.  2.Se trabajó en la revisión y organización del cronograma de trabajo para la vigencia 2023. 3.Reunión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4.	Reunión con la Red Universitaria para coordinar y organizar la inauguración de los juegos universitarios Distritales vigencia 2023, está inauguración quedo programada para fecha 17 de marzo en el coliseo de Combate a las 4:00 pm. 5.Se realizó la inducción y reinducción del área de Deporte, presentando los logros del año 2022 y las metas para la vigencia del 2023 de todos los programas. Asistió todo el equipo de deporte, junto con la directora, jefe de fomento y jefe de área. 6.Se asistió a la mesa de agenda pública de la Política Distrital de Deporte y Recreación PDDR, organizada y dirigida por el área del observatorio. 
</t>
  </si>
  <si>
    <t>1. A la fecha del reporte no sean iniciado los juegos intercolegiados, no se tienen los referentes y/o convenio por parte de MINDEPORTE. 2. Se está en periodo de alistamiento de los planes de adquisición (logísticos y de dotación). 3.	A  la fecha del reporte no sea iniciado los juegos universitarios. Se tiene una fecha prevista para la realización del lanzamiento (24 de marzo del 2023) ,</t>
  </si>
  <si>
    <t xml:space="preserve">Se iniciaron los juegos universitarios distritales con el lanzamiento el día 24 de marzo en el auditorio de la universidad San Buenaventura. Se iniciaron las competencias el día 25 de marzo con las disciplinas en conjunto de:  Baloncesto,  Futbol, Futbolsala – (femenino &amp; masculino),Voleibol – (femenino &amp; masculino), Kitboll donde participan ----- estudiantes deportistas; así mismo se dio inicio a las competencias de los deportes individuales en las disciplinas de:  Ajedrez , Tenis de mesa, Taekuondo, Donde participan ------ estudiantes deportistas, En estas competencias participan adolescentes y jóvenes estudiantes de las universidades: o	 Tecnológico de Comfenalco, oBellas Artes,o	Unitecnar ,o	Unisinu, oSan Buenaventura,oTecnológico de Bolívar,o Escuela Naval ,oUnicartagena ,o	Mayor de Bolívar,o Unilibre,o Rafael Nuñez, o Unicolombo. -	Debido a que la fase final de los juegos intercolegiados de la vigencia 2022 (etapa nacional) se realiza del 15 al 23 de mayo del 2023 – Mindeporte , El Ministerio del Deporte aún no tiene contratación con el operador de la plataforma para el  proceso de inscripción de los juegos Intercolegiados vigencia 2023. -	No se tiene de parte de Mindeporte  un cronograma de inicio de los juegos en sus etapas para la vigencia 2023. -El equipo de deporte Estudiantil está en la organización de unos pre-juegos deportivos en ocho (8) Instituciones Educativas, para incentivar y promocionar la participación de los juegos Intercolegiados vigencia 2023. 
</t>
  </si>
  <si>
    <r>
      <rPr>
        <b/>
        <u/>
        <sz val="20"/>
        <color theme="1"/>
        <rFont val="Calibri"/>
        <family val="2"/>
        <scheme val="minor"/>
      </rPr>
      <t>A corte 20 de mayo se reporta:</t>
    </r>
    <r>
      <rPr>
        <sz val="20"/>
        <color theme="1"/>
        <rFont val="Calibri"/>
        <family val="2"/>
        <scheme val="minor"/>
      </rPr>
      <t xml:space="preserve">
Se realizaron los juegos Universitarios Regionales donde se dieron competencias en las disciplinas de levantamiento de pesas y natación. Estos se realizaron los días 18 al 20 mayo del 2023. Donde se reunieron estudiantes de las universidades de Córdoba, Atlántico, Magdalena, la Autónoma del Caribe, Escuela naval de Cadetes Almirante Padilla, Unilibre, Universidad Popular del Cesar, Rafael Núñez, San Buenaventura y Unicartgena. Participaron 152 estudiantes en las dos disciplinas y categoría. 
Los juegos Universitarios Distritales fueron suspendidos para dar paso a la realización de los juegos Universitarios Regionales, realizados en la ciudad Valledupar y sede especial en la ciudad de Cartagena (levantamiento de pesas y Natación); se reactivan a finales del mes de mayo, para continuar con su etapa final.                                                                                                                                                                                                                                                                                                                                         Se realizaron las competencias en las disciplinas de levantamiento de pesas y Natación en el marco de la realización de los juegos Universitarios regionales vigencia 2023 . 
Las competencias de los juegos intercolegiados no se han realizado a la fecha de corte. Se está a la espera de las indicaciones y referentes técnicos que emita el ministerio de deporte para dar inicio a esta vigencia. Se tiene continua comunicación con la delegada de Mindeporte, para estar al tanto de los procesos.                                                                                                                                                                                                                                                                                                                                                              Se realizaron los juegos Regionales Universitarios, donde la ciudad de Cartagena estuvo como sede especial para la realización de las competencias en las disciplinas de levantamiento de pesas y natación. En estas competencias participaron adolescentes y jóvenes de las universidades: 
Universidad de Córdoba
Universidad del Atlántico
Universidad del Magdalena
Universidad Autónoma del Caribe
Escuela naval de Cadetes Almirante Padilla
Unilibre
Universidad Popular del Cesar
Universidad Rafael Núñez
Universidad San Buenaventura
Unicartgena. 
En estos encuentros deportivos participaron 152 estudiantes en las dos disciplinas y categoría (Masculino y femenino) </t>
    </r>
  </si>
  <si>
    <r>
      <rPr>
        <b/>
        <u/>
        <sz val="20"/>
        <color theme="1"/>
        <rFont val="Calibri"/>
        <family val="2"/>
        <scheme val="minor"/>
      </rPr>
      <t>A corte 20 de junio se reporta:</t>
    </r>
    <r>
      <rPr>
        <sz val="20"/>
        <color theme="1"/>
        <rFont val="Calibri"/>
        <family val="2"/>
        <scheme val="minor"/>
      </rPr>
      <t xml:space="preserve">
Finalizaron las competencias de los juegos universitarios distritales el día 30 de mayo del 2023 Clasificados a los Juegos Regionales ASCUN 2024  </t>
    </r>
    <r>
      <rPr>
        <b/>
        <u/>
        <sz val="20"/>
        <color theme="1"/>
        <rFont val="Calibri"/>
        <family val="2"/>
        <scheme val="minor"/>
      </rPr>
      <t xml:space="preserve">A corte 20 de junio  de 2023 , los Juegos intercolegiados: </t>
    </r>
    <r>
      <rPr>
        <sz val="20"/>
        <color theme="1"/>
        <rFont val="Calibri"/>
        <family val="2"/>
        <scheme val="minor"/>
      </rPr>
      <t xml:space="preserve">
Este indicador no presenta avances, se está a la espera que Mindeporte emita el cronograma y con posible fecha de inscripciones para inicio del segundo semestres del año en curso.  El equipo de Deporte Estudiantil Organizo y realizo jornadas recreodeportivas en las Instituciones Educativas, los estudiantes participaron en justas deportivas de Futbolsala y Baloncesto; así mismo participaron en las actividades recreativas. El objetivo es motivar y fortalecer la participación a los juegos Intercolegiados 2023., las instituciones particpantes fueron: IE. INEM , IE. Docentes del Caribe ,IE. Bertha Gedeón ,IE. Skiner (La Boquilla) , IE. Foco Rojo , IE. Gutiérrez de Piñerez , se beneficiaron a 2.499.                                                                                 </t>
    </r>
    <r>
      <rPr>
        <b/>
        <u/>
        <sz val="20"/>
        <color theme="1"/>
        <rFont val="Calibri"/>
        <family val="2"/>
        <scheme val="minor"/>
      </rPr>
      <t>A corte 20 de junio se reporta:</t>
    </r>
    <r>
      <rPr>
        <sz val="20"/>
        <color theme="1"/>
        <rFont val="Calibri"/>
        <family val="2"/>
        <scheme val="minor"/>
      </rPr>
      <t xml:space="preserve">
Se Finalizaron las competencias deportivas de los juegos universitarios distritales en las siguientes disciplinas deportivas: 
Baloncesto, Futbol. Futbolsala – (femenino &amp; masculino), Voleibol – (femenino &amp; masculino), Kitboll , Ajedrez , Tenis de mesa , Taekuondo.                                                                                    
</t>
    </r>
  </si>
  <si>
    <r>
      <rPr>
        <b/>
        <u/>
        <sz val="20"/>
        <color theme="1"/>
        <rFont val="Calibri"/>
        <family val="2"/>
        <scheme val="minor"/>
      </rPr>
      <t>A corte 20 de julio se reporta:</t>
    </r>
    <r>
      <rPr>
        <sz val="20"/>
        <color theme="1"/>
        <rFont val="Calibri"/>
        <family val="2"/>
        <scheme val="minor"/>
      </rPr>
      <t xml:space="preserve">
Se inició el proceso de inscripción de los Juegos Intercolegiados, los cuales iniciaron el primero (1) de julio del 2023 y finalizan el 31 de julio del 2023.  Se realizaron vistas, jornadas recreo-deportivas y apoyos a los procesos de inscripción en las IE del distrito A la fecha de corte 20 de julio se tiene un total de Inscriptos de 950 estudiantes </t>
    </r>
    <r>
      <rPr>
        <sz val="20"/>
        <rFont val="Calibri"/>
        <family val="2"/>
        <scheme val="minor"/>
      </rPr>
      <t xml:space="preserve"> ( Contamos un total de 3.934 , distribuidos entre 950 deportistas inscritos en los Juegos intercolegiados y la realización de actividades recreodeportivas con 2.984 deportistas aproximadamente).
</t>
    </r>
  </si>
  <si>
    <t>Para Juegos Intercolegiados contamos con la participación de 6.440 deportistas y 162 instituciones educativas entre públicas y privadas.</t>
  </si>
  <si>
    <r>
      <rPr>
        <b/>
        <u/>
        <sz val="20"/>
        <color theme="1"/>
        <rFont val="Calibri"/>
        <family val="2"/>
        <scheme val="minor"/>
      </rPr>
      <t>A corte 20 de septiembre se reporta:</t>
    </r>
    <r>
      <rPr>
        <sz val="20"/>
        <color theme="1"/>
        <rFont val="Calibri"/>
        <family val="2"/>
        <scheme val="minor"/>
      </rPr>
      <t xml:space="preserve">
Finalizó el periodo de inscripción el pasado 28 de agosto. Se esta a la espera de la fecha de iniciación de las competencias programadas para el próximo 17 de octubre del 2023. Aun no se cuenta con la contratación del operador logístico por parte de Mindeporte y el IDER. 
</t>
    </r>
    <r>
      <rPr>
        <b/>
        <u/>
        <sz val="20"/>
        <color theme="1"/>
        <rFont val="Calibri"/>
        <family val="2"/>
        <scheme val="minor"/>
      </rPr>
      <t>A corte 20 de septiembre se reporta:</t>
    </r>
    <r>
      <rPr>
        <sz val="20"/>
        <color theme="1"/>
        <rFont val="Calibri"/>
        <family val="2"/>
        <scheme val="minor"/>
      </rPr>
      <t xml:space="preserve">
Se realizaron las reuniones informativas con los docentes y coordinares de los deportes que estarán en competencias en los juegos Intercolegiados Distritales 2023. Se socializaron las técnicas y especificaciones establecidas para la ejecución de los juegos.  Estas se realizaron a partir del 4 al 15 de septiembre.                                                                                                                                                                                                          </t>
    </r>
    <r>
      <rPr>
        <b/>
        <u/>
        <sz val="20"/>
        <color theme="1"/>
        <rFont val="Calibri"/>
        <family val="2"/>
        <scheme val="minor"/>
      </rPr>
      <t>A corte 20 de septiembre se reporta:</t>
    </r>
    <r>
      <rPr>
        <sz val="20"/>
        <color theme="1"/>
        <rFont val="Calibri"/>
        <family val="2"/>
        <scheme val="minor"/>
      </rPr>
      <t xml:space="preserve">
Se tiene fecha de inicio de competencias para el 17 de octubre del 2023. Se está la espera de la contratación del operador.  
</t>
    </r>
  </si>
  <si>
    <r>
      <rPr>
        <b/>
        <u/>
        <sz val="20"/>
        <color theme="1"/>
        <rFont val="Calibri"/>
        <family val="2"/>
        <scheme val="minor"/>
      </rPr>
      <t>A corte 20 de octubre se reporta:</t>
    </r>
    <r>
      <rPr>
        <sz val="20"/>
        <color theme="1"/>
        <rFont val="Calibri"/>
        <family val="2"/>
        <scheme val="minor"/>
      </rPr>
      <t xml:space="preserve">
Se está a la espera de iniciar las competencias de los juegos Intercolegiados, de acuerdo a lo conversado con el representante de MINDEPORTE aun no se tiene contratación con el operador logístico, por lo cual se esta a la espera de la nueva reprogramación de la fecha de inicio a la etapa distrital. 
</t>
    </r>
  </si>
  <si>
    <t xml:space="preserve">Se hace seguimiento a los indicadores de cumplimiento , se realizan mesas de trabajo y se socilitan entregas parciales, se establecen actas de compromisos. 2.	Reunión con los coordinadores de programa y con el jefe de área, donde se dieron los detalles que encaminan a las funciones específicas del cargo y el plan de comunicación. 
3.	Se trabajo en la revisión y organización del cronograma de trabajo para la vigencia 2023. </t>
  </si>
  <si>
    <t xml:space="preserve">Acompañar el proceso de socialización y desarrollo de los juegos interuniversitarios </t>
  </si>
  <si>
    <t>Divulgar las acciones y actividades desarrolladas en el proyecto</t>
  </si>
  <si>
    <t>2.1 Servicio de organización de eventos deportivos comunitarios</t>
  </si>
  <si>
    <t>Realizar las competencias deportivas de los juegos intercolegiados del distrito</t>
  </si>
  <si>
    <t xml:space="preserve">1. Adquisición y/o suministro de materiales, uniformes e implementos requeridos para el desarrollo de las actividades del proyecto, a través de Secop II y bolsa mercantil  
2. Servicios de Operación logística.
3. Pólizas
4. Servicios de transporte terrestre.  </t>
  </si>
  <si>
    <t xml:space="preserve">1 y 2 . Selección abreviada a través de Bolsa Mercantil 
3.  Minima Cuantía   4. Selección abreviada a través de acuerdo marco </t>
  </si>
  <si>
    <t xml:space="preserve">Acompañar el desarrollo de las competencias de los juegos interuniversitarios </t>
  </si>
  <si>
    <t>Entregar la premiación a los ganadores de las competencias deportivas distritales</t>
  </si>
  <si>
    <t>Servicios de operación logística a través de Secop II y bolsa mercantíl</t>
  </si>
  <si>
    <t xml:space="preserve">Selección abreviada a través de la Bolsa Mercantil 
</t>
  </si>
  <si>
    <t>No se han presenta avance en la meta.</t>
  </si>
  <si>
    <t>AVANCE PROGRAMA</t>
  </si>
  <si>
    <t>AVANCE SEGÚN PROYECTO</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</si>
  <si>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</si>
  <si>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</si>
  <si>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</si>
  <si>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2.3 Documentos de planeación</t>
  </si>
  <si>
    <t xml:space="preserve">Brindar apoyos a deportistas, clubes, ligas, federaciones y otras organizaciones deportivas, para 
posicionarlos como actores locales del sistema deportivo y hacer de Cartagena de Indias un Distrito 
campeón. </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</si>
  <si>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</si>
  <si>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</si>
  <si>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Realizar la entrega y seguimiento de los estímulos a organismos deportivos</t>
  </si>
  <si>
    <t>Recursos Propios</t>
  </si>
  <si>
    <t>CONSOLIDACIÓN DEL SISTEMA DEPORTIVO DISTRITAL MEDIANTE UNA ESTRATEGIA DE ESTÍMULOS Y/O APOYOS A LAS ORGANIZACIONES DEPORTIVAS Y DEPORTISTAS DE ALTOS LOGROS-0  CARTAGENA DE INDIAS</t>
  </si>
  <si>
    <t>2.3.4302.1604.2020130010038</t>
  </si>
  <si>
    <t xml:space="preserve">Contratatación de prestación de servicios profesionale y/o de apoyo a la gestión del equipo de trabajo que ejecutará las actividades del proyecto
Entrega de estímulos a organismos deportivos. </t>
  </si>
  <si>
    <t xml:space="preserve">Contratación directa
Invitación pública para estímulos a organismos deportivos. </t>
  </si>
  <si>
    <t>•	En este periodo se iniciaron las contrataciones del personal de apoyo para la realización ejecución del programa, el cual quedo conformado así: 
1.	Luis Sierra Díaz
2.	Nelson Osorio Lentino 
3.	Carlos Manuel Pombo Gallardo
4.	Karen Flórez Hernández 
•	Mesas de trabajo y coordinación del plan de ejecución para el cumplimiento de las metas del plan de acción 2023.
•	Mesas de trabajo para el desarrollo de los criterios de las convocatorias de organismos deportivos y deportistas; así mismo presupuesto para la ejecución de esta vigencia</t>
  </si>
  <si>
    <t>1. El día 7 de febrero se llevó a cabo la reunión de socialización entre la Directora del IDER y el Gerente de IDERBOL, donde se contextualizaron los planes preliminares de ambos institutos de cara a los Juegos Deportivos Nacionales y Paranacionales 2023. 2. El 14 de febrero se llevó a cabo la primera Mesa de Trabajo entre los entes distrital y departamental IDER e IDERBOL, para tratar sobre los alcances de los programas a desarrollar en 2023 de cara a los Juegos Deportivos Nacionales y Paranacionales 2023. 3. El día 17 de febrero se llevó a cabo el Comité de Incentivos para el Programa de Deporte Asociado Incentivos con Sentido, apoyo a Atletas de alto rendimiento que participarán en los Juegos Deportivos Nacionales y Paranacionales 2023.4. El día 24 de febrero se llevó a cabo la socialización del Programa de Deporte Asociado Incentivos con Sentido para el apoyo de atletas a los Juegos Deportivos Nacionales y Paranacionales 2023.</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</si>
  <si>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Para el cumplimiento de la meta proyecto, se ha dispuesto de un cronograma que describe todas y cada una de las etapas que se deben surtir, que culminen con la entrega real y material de los apoyos y/o estímulos a los organismos deportivos. Este cronograma comprende entre el 16 de marzo y el 2 de mayo de 2023; dentro del cual se cumplirá con la socialización a los organismos deportivos, la expedición del acto administrativo de invitación,  la presentación de las propuestas, el estudio del cumplimiento legal y documental y la publicación de las aprobadas.
</t>
  </si>
  <si>
    <t>Para la implementación de este proyecto durante 2023, se ha establecido como prioridad presupuestal de acompañamiento, a aquellos organismos deportivos inmersos en los procesos de preparación y competencia a los Juegos Deportivos Nacionales y Paranacionales 2023, que impactan a hombres y mujeres sin rango de edad específico residentes básicamente en cualquier municipio del departamento de Bolívar o en la ciudad de Cartagena; pero también se apoyará a aquellos organismos deportivos convencionales y no convencionales de la ciudad que no pertenecen al proceso de competencia de estas justas.
Para tal fin diseñó e implementó una invitación pública, la cual fue socializada con todos los organismos deportivos, para que, mediante sencilla y resumidamente, presentarán sus propuestas para el Ider les acompañar en el cumplimiento de aquella actividad misional prioritaria para la actual vigencia, contenida en sus respectivos planes de acción.</t>
  </si>
  <si>
    <r>
      <rPr>
        <b/>
        <u/>
        <sz val="20"/>
        <color theme="1"/>
        <rFont val="Calibri"/>
        <family val="2"/>
        <scheme val="minor"/>
      </rPr>
      <t>A corte 20 de mayo se reporta:</t>
    </r>
    <r>
      <rPr>
        <sz val="20"/>
        <color theme="1"/>
        <rFont val="Calibri"/>
        <family val="2"/>
        <scheme val="minor"/>
      </rPr>
      <t xml:space="preserve">
Desde la Coordinación de Deporte Asociado se presentó al Comité de Incentivos, un diagnóstico general de estado de la propuestas presentadas por los Organismos Deportivos para el acceso a los apoyos y/o estímulos 2023, encontrándose un promedio del 88% de incumplimiento en el cumplimiento de los requisitos legales y documentales; por tal razón este Comité decidió modificar el cronograma de las invitaciones y en consecuencia se fijó el día 30 de mayo como fecha para la publicación de las propuestas aprobadas, previo agotamiento de un período para que los Organismos Deportivos procedieran a la subsanación de aquellos requisitos legales y documentales no aportados.
</t>
    </r>
  </si>
  <si>
    <r>
      <rPr>
        <b/>
        <u/>
        <sz val="20"/>
        <color theme="1"/>
        <rFont val="Calibri"/>
        <family val="2"/>
        <scheme val="minor"/>
      </rPr>
      <t>A corte 20 de Junio se reporta:</t>
    </r>
    <r>
      <rPr>
        <sz val="20"/>
        <color theme="1"/>
        <rFont val="Calibri"/>
        <family val="2"/>
        <scheme val="minor"/>
      </rPr>
      <t xml:space="preserve">
Para el periodo de este corte, se publicaron: 
</t>
    </r>
    <r>
      <rPr>
        <b/>
        <sz val="20"/>
        <color theme="1"/>
        <rFont val="Calibri"/>
        <family val="2"/>
        <scheme val="minor"/>
      </rPr>
      <t>Resolución Nº 156 del 06 de junio del 2023</t>
    </r>
    <r>
      <rPr>
        <sz val="20"/>
        <color theme="1"/>
        <rFont val="Calibri"/>
        <family val="2"/>
        <scheme val="minor"/>
      </rPr>
      <t xml:space="preserve">, donde se publicó la lista definitiva de las propuestas aprobadas de los organismos Deportivos no beneficiarios de las líneas de apoyo para la obtención de resultados deportivos sobresalientes en los juegos deportivos nacionales y paranacionales 2023. Numero de propuestas aprobadas 31. Link https://ider.gov.co/wp-content/uploads/2023/06/RES.-156-Propuesta-aprobada-Organismos-Deportivos-CONVENCIONALES-Y-NO-CONVENCIONALES.pdf
</t>
    </r>
    <r>
      <rPr>
        <b/>
        <sz val="20"/>
        <color theme="1"/>
        <rFont val="Calibri"/>
        <family val="2"/>
        <scheme val="minor"/>
      </rPr>
      <t>Resolución Nº 157 del 06 de junio del 2023</t>
    </r>
    <r>
      <rPr>
        <sz val="20"/>
        <color theme="1"/>
        <rFont val="Calibri"/>
        <family val="2"/>
        <scheme val="minor"/>
      </rPr>
      <t>, donde se publicó la lista definitiva de las propuestas aprobadas de las Ligas Deportivas Departamentales de Bolivar y a los Clubes Deportivos de Discapacidad del Distrito de Cartagena de Indias; para acceder a los apoyos y/o incentivos que coadyuven a la obtención de resultados deportivos sobresalientes en los Juegos Deportivos Nacionales y Paranacionales 2023. Numero de Propuestas aprobadas 18. Link https://ider.gov.co/wp-content/uploads/2023/06/RES.-157-Propuesta-aprobada-Organismos-Deportivos-ligas-y-clubes-de-discapacidad.pdf . Si bien ya se aprobaron por parte del Instituto Distrital de Deporte y Recreación las propuestas presentadas por los Organismos Deportivos, previo cumplimiento de los requisitos legales y documentales; no se reporta entrega real y material de estos apoyos y/o incentivos está sujeta a que se surta el proceso de contratación correspondiente.
En ese sentido, se ha sugerido a los Organismos Deportivos beneficiados, que ajusten sus respectivos calendarios de actividades, de tal manera que  los eventos previstos, ya sea de participación u organización, se desarrollen con éxito.</t>
    </r>
  </si>
  <si>
    <r>
      <rPr>
        <b/>
        <u/>
        <sz val="20"/>
        <color theme="1"/>
        <rFont val="Calibri"/>
        <family val="2"/>
        <scheme val="minor"/>
      </rPr>
      <t>A corte 20 de Julio se reporta:</t>
    </r>
    <r>
      <rPr>
        <sz val="20"/>
        <color theme="1"/>
        <rFont val="Calibri"/>
        <family val="2"/>
        <scheme val="minor"/>
      </rPr>
      <t xml:space="preserve">
El Instituto aún se encuentra en el proceso contractual, a través del cual se determinará el operador que se encargará de apoyar la provisión de los bienes servicios que requerirán los Organismos Deportivos, dentro de las propuestas que fueron aprobadas y que corresponden a sus actividades misionales 2023. A corte 20 de julio se realizaron:
En este periodo se atendieron a 28 personas de forma personalizada, las cuales se les brindo asesorías referentes al reconocimiento y estructuración de los organismos deportivos. Se realizó una capacitación el día 12 de julio del 2023 donde asistieron 13 personas, para un total de 41 personas atendidas. 
</t>
    </r>
  </si>
  <si>
    <r>
      <rPr>
        <b/>
        <u/>
        <sz val="20"/>
        <color theme="1"/>
        <rFont val="Calibri"/>
        <family val="2"/>
        <scheme val="minor"/>
      </rPr>
      <t>A corte 20 de Agosto se reporta:</t>
    </r>
    <r>
      <rPr>
        <sz val="20"/>
        <color theme="1"/>
        <rFont val="Calibri"/>
        <family val="2"/>
        <scheme val="minor"/>
      </rPr>
      <t xml:space="preserve">
Aún no se reporta avance por no haberse concluido el proceso de contratación del operador que se encargará de la provisión de los bienes y servicios para cada uno de los Organismos Deportivos.
Se está a la espera de la culminación del proceso contractual. Se revisó desde la Dirección de Fomento Deportivo y Recreativo con la Oficina Asesora Jurídica, las condiciones actuales del proceso; a fin de determinar posibles fechas para el inicio de la ejecución y a partir de ello, ajustar las fechas desde cada uno de los programas que dependen de este.</t>
    </r>
  </si>
  <si>
    <r>
      <rPr>
        <b/>
        <u/>
        <sz val="20"/>
        <color theme="1"/>
        <rFont val="Calibri"/>
        <family val="2"/>
        <scheme val="minor"/>
      </rPr>
      <t>A corte 20 de septiembre se reporta:</t>
    </r>
    <r>
      <rPr>
        <sz val="20"/>
        <color theme="1"/>
        <rFont val="Calibri"/>
        <family val="2"/>
        <scheme val="minor"/>
      </rPr>
      <t xml:space="preserve">
Aún no se reporta avance por no haberse concluido el proceso de contratación del operador que se encargará de la provisión de los bienes y servicios para cada uno de los Organismos Deportivos. Se está a la espera de la culminación del proceso contractual. Se revisó desde la Dirección de Fomento Deportivo y Recreativo con la Oficina Asesora Jurídica, las condiciones actuales del proceso; a fin de determinar posibles fechas para el inicio de la ejecución y a partir de ello, ajustar las fechas desde cada uno de los programas que dependen de este.</t>
    </r>
  </si>
  <si>
    <r>
      <rPr>
        <b/>
        <u/>
        <sz val="20"/>
        <color theme="1"/>
        <rFont val="Calibri"/>
        <family val="2"/>
        <scheme val="minor"/>
      </rPr>
      <t>A corte 20 de octubre se reporta:</t>
    </r>
    <r>
      <rPr>
        <sz val="20"/>
        <color theme="1"/>
        <rFont val="Calibri"/>
        <family val="2"/>
        <scheme val="minor"/>
      </rPr>
      <t xml:space="preserve">
Se socializó con los Organismos Deportivos el procedimiento para la reiniciación para la presentación de las solicitudes de apoyo para los eventos programados, correspondientes a las Resoluciones Nos. 156 y 157 del 6 de junio de 2023. De igual manera, se cursó invitación para la fase 2 de apoyo.
Se perfeccionó el contrato de logística a través de la Bolsa Mercantil y se adjudicó el mismo al operador Logística y Gestión de Negocios. A partir de este se iniciará la socialización con los Organismos Deportivos beneficiarios 2023, la reiniciación del proceso de presentación de las propuestas y consecuente apoyo para los eventos deportivos programados ya sea como participantes o como organizadores.</t>
    </r>
    <r>
      <rPr>
        <b/>
        <u/>
        <sz val="20"/>
        <color theme="1"/>
        <rFont val="Calibri"/>
        <family val="2"/>
        <scheme val="minor"/>
      </rPr>
      <t>A corte 20 de octubre se reporta:</t>
    </r>
    <r>
      <rPr>
        <sz val="20"/>
        <color theme="1"/>
        <rFont val="Calibri"/>
        <family val="2"/>
        <scheme val="minor"/>
      </rPr>
      <t xml:space="preserve">
Se perfeccionó el contrato de logística a través de la Bolsa Mercantil y se adjudicó el mismo al operador Logística y Gestión de Negocios. A partir de este se iniciará la socialización con los Organismos Deportivos beneficiarios 2023, la reiniciación del proceso de presentación de las propuestas y consecuente apoyo para los eventos deportivos programados ya sea como participantes o como organizadores.</t>
    </r>
  </si>
  <si>
    <t>Se hace seguimiento a los indicadores de cumplimiento , se realizan mesas de trabajo y se socilitan entregas parciales, se establecen actas de compromiso</t>
  </si>
  <si>
    <t>3.1 Servicio de inspección, vigilancia y control al Sistema Nacional del
Deporte</t>
  </si>
  <si>
    <t>Brindar asesorías a los organismos deportivos para el reconocimiento y estructuración</t>
  </si>
  <si>
    <t>En este periodo se atendieron a 41 personas, las cuales se les brindo asesorías referentes al reconocimiento y estructuración de los organismos deportivos. Se agendó la primera jornada de capacitación para el día 30 de marzo/23,</t>
  </si>
  <si>
    <t>3.2 Servicio de atención al ciudadano</t>
  </si>
  <si>
    <t>Crear plataforma de organizaciones deportivas</t>
  </si>
  <si>
    <t>Se implementó a través de la página web institucional, una herramienta a través de la cual las organizaciones deportivas pueden canalizar toda la información legal y documental, respecto de cada programa de Deporte Asociado “Incentivos con Sentido” del cual están interesados en participar, para el acceso de apoyos 2023.</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</si>
  <si>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</si>
  <si>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</si>
  <si>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1.3 Servicio de posicionamiento institucional</t>
  </si>
  <si>
    <t xml:space="preserve">Divulgar las acciones de los deportivas y organizaciones deportivas realizadas </t>
  </si>
  <si>
    <t xml:space="preserve">1. Contratatación de prestación de servicios profesionale y/o de apoyo a la gestión del equipo de trabajo que ejecutará las actividades del proyecto
2. Contratación asociada a los procesos de divulgación de las actividades del proyecto (radio, televisión, etc.) 
a través de Secop II 
</t>
  </si>
  <si>
    <t xml:space="preserve">Contratación directa
Selección Abreviada de menor cuantía 
</t>
  </si>
  <si>
    <t xml:space="preserve">1.  A corte 20 de marzo/23, se expidieron un total de diez (10) actos administrativos. Este proceso se desarrolló previo cumplimiento de los requisitos legales y documentales por parte de cada organismo deportivo, lo que consecuentemente les permite a estos hacer parte del Sistema Nacional de Deporte ya sea por primera vez o en su defecto actualizar la vigencia del reconocimiento deportivo o del órgano de administración para los organismos que ya se encuentran en base de datos y consecuencialmente poder acceder a los apoyos y/o estímulos ofertados por el estado, 2.Se realizó una publicación el día 10 de marzo para la invitación a la socialización a la convocatoria para organismos deportivos y deportistas (16 de marzo – hora 4:00 – lugar complejo de raquetas) , 3. Se realizó una publicación en redes sociales para invitar a la postulación a la convocatoria de deportistas, el día 12 de marzo de 2023, 4.Se realizó una publicación por redes sociales el día 15 de marzo para la invitación a la socialización a  ligas y clubes deportivos para la socialización de la convocatoria de organismos deportivos (día 16 de marzo – hora 4:00 pm – lugar complejo de raquetas), 5.Se realizó una publicación en redes sociales el día 17 de marzo, comunicando que se ampliaba el plazo para postular a los atletas para la convocatoria de estímulos a organismos deportivos.
</t>
  </si>
  <si>
    <t>Se realizará la invitación pública para el mes de mayo de 2023.</t>
  </si>
  <si>
    <r>
      <rPr>
        <b/>
        <u/>
        <sz val="20"/>
        <color theme="1"/>
        <rFont val="Calibri"/>
        <family val="2"/>
        <scheme val="minor"/>
      </rPr>
      <t>A corte 20 de mayo se realizaron:</t>
    </r>
    <r>
      <rPr>
        <sz val="20"/>
        <color theme="1"/>
        <rFont val="Calibri"/>
        <family val="2"/>
        <scheme val="minor"/>
      </rPr>
      <t xml:space="preserve">
Se recepcionaron un total de 65 propuestas del total de 84 presupuestadas, de las cuales solo 5 cumplieron con la totalidad de los requisitos legales y documentales exigidos para poder acceder a los apoyos y/ estímulos ofertados, por lo que, en consecuencia, el Comité de Incentivos decidió modificar el cronograma inicial de la invitación, extendiéndolo hasta el día 26 para que los Organismos Deportivos procedieran a subsanar estos. La nueva fecha para la publicación de las propuestas aprobadas se fijó el día 30 de mayo de 2023. 
</t>
    </r>
  </si>
  <si>
    <r>
      <rPr>
        <b/>
        <u/>
        <sz val="20"/>
        <color theme="1"/>
        <rFont val="Calibri"/>
        <family val="2"/>
        <scheme val="minor"/>
      </rPr>
      <t>A corte 20 de junio se realizaron:</t>
    </r>
    <r>
      <rPr>
        <sz val="20"/>
        <color theme="1"/>
        <rFont val="Calibri"/>
        <family val="2"/>
        <scheme val="minor"/>
      </rPr>
      <t xml:space="preserve">
Se publicaron las propuestas aprobadas presentadas por los Organismos Deportivos, con previo cumplimiento de los requisitos legales y documentales; no se reporta entrega real y material de estos apoyos y/o incentivos está sujeta a que se surta el proceso de contratación correspondiente.
En ese sentido, se ha sugerido a los Organismos Deportivos beneficiados, que ajusten sus respectivos calendarios de actividades, de tal manera que  los eventos previstos, ya sea de participación u organización, se desarrollen con éxito.             </t>
    </r>
    <r>
      <rPr>
        <b/>
        <u/>
        <sz val="20"/>
        <color theme="1"/>
        <rFont val="Calibri"/>
        <family val="2"/>
        <scheme val="minor"/>
      </rPr>
      <t>A corte 20 de junio se realizaron:</t>
    </r>
    <r>
      <rPr>
        <sz val="20"/>
        <color theme="1"/>
        <rFont val="Calibri"/>
        <family val="2"/>
        <scheme val="minor"/>
      </rPr>
      <t xml:space="preserve">
En este periodo se atendieron a 19 personas, las cuales se les brindo asesorías referentes al reconocimiento y estructuración de los organismos deportivos. Se realizó una capacitación el día 25 de mayo del 2023. 
</t>
    </r>
  </si>
  <si>
    <r>
      <rPr>
        <b/>
        <u/>
        <sz val="20"/>
        <color theme="1"/>
        <rFont val="Calibri"/>
        <family val="2"/>
        <scheme val="minor"/>
      </rPr>
      <t>A corte 20 de Julio se reporta:</t>
    </r>
    <r>
      <rPr>
        <sz val="20"/>
        <color theme="1"/>
        <rFont val="Calibri"/>
        <family val="2"/>
        <scheme val="minor"/>
      </rPr>
      <t xml:space="preserve">
El Instituto aún se encuentra en el proceso contractual, a través del cual se determinará el operador que se encargará de apoyar la provisión de los bienes servicios que requerirán los Organismos Deportivos, dentro de las propuestas que fueron aprobadas y que corresponden a sus actividades misionales 2023. A corte 20 de julio se realizaron:
En este periodo se atendieron a 28 personas de forma personalizada, las cuales se les brindo asesorías referentes al reconocimiento y estructuración de los organismos deportivos. Se realizó una capacitación el día 12 de julio del 2023 donde asistieron 13 personas, para un total de 41 personas atendidas. </t>
    </r>
  </si>
  <si>
    <r>
      <rPr>
        <b/>
        <u/>
        <sz val="20"/>
        <color theme="1"/>
        <rFont val="Calibri"/>
        <family val="2"/>
        <scheme val="minor"/>
      </rPr>
      <t>A corte 20 de octubre se realizaron:</t>
    </r>
    <r>
      <rPr>
        <sz val="20"/>
        <color theme="1"/>
        <rFont val="Calibri"/>
        <family val="2"/>
        <scheme val="minor"/>
      </rPr>
      <t xml:space="preserve">
Se reporta el apoyo a la Liga de Atletismo de Bolívar que benefició a 48 atletas y al Club Deportivo Boca Juniors, que benefició a 50 atletas.
</t>
    </r>
  </si>
  <si>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</si>
  <si>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</si>
  <si>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1.2 Servicio de apoyo financiero a atletas</t>
  </si>
  <si>
    <t>Realizar la entrega y seguimiento de los estímulos a deportistas convencionales y no convencionales</t>
  </si>
  <si>
    <t>Contratatación de prestación de servicios profesionale y/o de apoyo a la gestión del equipo de trabajo que ejecutará las actividades del proyecto
Entrega de estímulos a deportistas</t>
  </si>
  <si>
    <t xml:space="preserve">Contratación directa
Convocatoria para entrega de estímulos a deportistas. </t>
  </si>
  <si>
    <t xml:space="preserve">Se hizo una presentación geneneral de la estrategia  para los  Organismos Deportivos, en relación con los avances del cuatrienio, el cumplimiento de las metas, cobertura, ejecución presupuestal; así como los términos de referencia, cronograma de actividades y requisitos legales y documentales, para la entrega de apoyos y/o estímulos a atletas 2023, Se realizó una publicación en redes sociales el día 15 - 16 de marzo, para recordatorio de las inscripciones a la convocatoria de deportistas. </t>
  </si>
  <si>
    <t xml:space="preserve">Durante este período se logró cumplir con el cronograma previsto para la primera invitación pública para el apoyo a deportistas élite que adelantan su preparación y competencia a los Juegos Deportivos Nacionales y Paranacionales 2023. 
Esta primera parte del proceso culminó con la aprobación de sesenta (60) deportistas convencionales y no convencionales, postulados por las Ligas Deportivas Departamentales y los Clubes Deportivos de Discapacidad.
</t>
  </si>
  <si>
    <r>
      <rPr>
        <b/>
        <u/>
        <sz val="20"/>
        <color theme="1"/>
        <rFont val="Calibri"/>
        <family val="2"/>
        <scheme val="minor"/>
      </rPr>
      <t>A corte 20 de mayo se realizaron:</t>
    </r>
    <r>
      <rPr>
        <b/>
        <sz val="20"/>
        <color theme="1"/>
        <rFont val="Calibri"/>
        <family val="2"/>
        <scheme val="minor"/>
      </rPr>
      <t xml:space="preserve">
</t>
    </r>
    <r>
      <rPr>
        <sz val="20"/>
        <color theme="1"/>
        <rFont val="Calibri"/>
        <family val="2"/>
        <scheme val="minor"/>
      </rPr>
      <t>Durante este período se lanzó la segunda invitación pública de apoyo para los atletas élite de los 14 organismos deportivos que, por alguna circunstancia legal o documental, no pudieron postular a sus deportistas durante la primera invitación. El período dentro del cual tanto las Ligas Deportivas Departamentales como los Clubes Deportivos de Discapacidad del Distrito de Cartagena de Indias, pueden postular a sus atletas comprende entre el 12 de mayo y el 28 de junio de 2023. En coordinación con la Dirección Administrativa y Financiera, se adelantaron los trámites necesarios para la entrega real y material de los apoyos y/o estímulos a sesenta (6) atletas beneficiados de la primera invitación pública. De igual manera se hizo una entrega simbólica a estos en un acto sencillo en el salón del Complejo de Raquetas con la presencia del señor Alcalde de la ciudad, los atletas, los representantes de los distintos organismos deportivos y los medios de comunicación de la ciudad.</t>
    </r>
    <r>
      <rPr>
        <b/>
        <sz val="20"/>
        <color theme="1"/>
        <rFont val="Calibri"/>
        <family val="2"/>
        <scheme val="minor"/>
      </rPr>
      <t xml:space="preserve">
</t>
    </r>
  </si>
  <si>
    <r>
      <rPr>
        <b/>
        <u/>
        <sz val="20"/>
        <color theme="1"/>
        <rFont val="Calibri"/>
        <family val="2"/>
        <scheme val="minor"/>
      </rPr>
      <t>A corte 20 de junio se realizaron:</t>
    </r>
    <r>
      <rPr>
        <b/>
        <sz val="20"/>
        <color theme="1"/>
        <rFont val="Calibri"/>
        <family val="2"/>
        <scheme val="minor"/>
      </rPr>
      <t xml:space="preserve">
</t>
    </r>
    <r>
      <rPr>
        <sz val="20"/>
        <color theme="1"/>
        <rFont val="Calibri"/>
        <family val="2"/>
        <scheme val="minor"/>
      </rPr>
      <t>Durante este período se publicó el listado total de 17 atletas postulados por los Organismos Deportivos correspondientes a la Segunda Invitación Pública para apoyo y/o incentivos 2023, suscripta en el Acta Nº 008 de 06 de junio del 2023. Link https://ider.gov.co/wp-content/uploads/2023/06/Acta-No.08-06-06-2023.pdf
Se publica Resolución Nº 168 de 16 de junio del 2023, por medio de la cual se hace la tercera invitación publica a las Ligas Deportivas Departamentales y Clubes Deportivos de Discapacidad del Distrito de Cartagena de Indias, a que postulen a los atletas Elites de sus registros, que hayan obtenido un cupo a los juegos Deportivos Nacionales y Paranacionales 2023, para acceder a los apoyos y/o estímulos establecidos en el programa Deporte Asociado Incentivo con Sentido. Link  
https://ider.gov.co/wp-content/uploads/2023/06/RES.168-Tercera-Invitacion-Publica-de-Apoyo-a-Atletas-2023.pdf</t>
    </r>
    <r>
      <rPr>
        <b/>
        <sz val="20"/>
        <color theme="1"/>
        <rFont val="Calibri"/>
        <family val="2"/>
        <scheme val="minor"/>
      </rPr>
      <t xml:space="preserve">
</t>
    </r>
  </si>
  <si>
    <r>
      <rPr>
        <b/>
        <u/>
        <sz val="20"/>
        <color theme="1"/>
        <rFont val="Calibri"/>
        <family val="2"/>
        <scheme val="minor"/>
      </rPr>
      <t>A corte 20 de julio se realizaron:</t>
    </r>
    <r>
      <rPr>
        <b/>
        <sz val="20"/>
        <color theme="1"/>
        <rFont val="Calibri"/>
        <family val="2"/>
        <scheme val="minor"/>
      </rPr>
      <t xml:space="preserve">
</t>
    </r>
    <r>
      <rPr>
        <sz val="20"/>
        <color theme="1"/>
        <rFont val="Calibri"/>
        <family val="2"/>
        <scheme val="minor"/>
      </rPr>
      <t xml:space="preserve">Durante este período se publicó el listado total de 14 atletas beneficiados de los postulados por los Organismos Deportivos correspondientes a la Segunda Invitación Pública para apoyo y/o incentivos 2023 y el trámite de su correspondiente pago. Suscripta en el Acta Nº 183 de 28 de junio del 2023, Link https://ider.gov.co/wp-content/uploads/2023/06/RES.-183-Publicacion-listado-definitivo-atletas-beneficiados-segunda-invitacion-publica-2023.pdf.                                                                                                                                                                                                                                         </t>
    </r>
    <r>
      <rPr>
        <b/>
        <u/>
        <sz val="20"/>
        <color theme="1"/>
        <rFont val="Calibri"/>
        <family val="2"/>
        <scheme val="minor"/>
      </rPr>
      <t xml:space="preserve">A corte 20 de julio se realizaron: </t>
    </r>
    <r>
      <rPr>
        <sz val="20"/>
        <color theme="1"/>
        <rFont val="Calibri"/>
        <family val="2"/>
        <scheme val="minor"/>
      </rPr>
      <t xml:space="preserve">
Se entregaron estímulos a catorce (14) atletas adscritos las Ligas Deportivas Departamentales, clasificados como preseleccionados o seleccionados a los Juegos Deportivos Nacionales 2023, mediante el pago del 70% del incentivo a los beneficiarios de la segunda convocatoria. Link https://ider.gov.co/wp-content/uploads/2023/07/Memorando-DAF-MEM-51-06-2023.pdf
Se entregaron estímulos a catorce (14) atletas adscritos las Ligas Deportivas Departamentales, clasificados como preseleccionados o seleccionados a los Juegos Deportivos Nacionales 2023, mediante el pago del 70% del incentivo a los beneficiarios de la segunda convocatoria. Link https://ider.gov.co/wp-content/uploads/2023/07/Memorando-DAF-MEM-51-06-2023.pdf
Se publica el acta Nº 010 de 18 de julio del 2023, por medio del cual se publica el listado de atletas postulados por organismos deportivos para la tercera invitación publica de apoyo a deportistas a Juegos Deportivos Nacionales y Paranacionales 2023. Link https://ider.gov.co/wp-content/uploads/2023/07/ACTA-010.pdf
</t>
    </r>
  </si>
  <si>
    <r>
      <rPr>
        <sz val="20"/>
        <color theme="1"/>
        <rFont val="Calibri"/>
        <family val="2"/>
        <scheme val="minor"/>
      </rPr>
      <t>Durante este período se publicó el listado total de 89 atletas beneficiados de los postulados por los Organismos Deportivos correspondientes a la Tercera Invitación Pública para apoyo y/o incentivos 2023 y el trámite de su correspondiente pago. https://ider.gov.co/wp-content/uploads/2023/08/RES-238-PUBLICACION-atletas-beneficiados-tercera-invitacion-publica-2023.pdf</t>
    </r>
    <r>
      <rPr>
        <b/>
        <sz val="20"/>
        <color theme="1"/>
        <rFont val="Calibri"/>
        <family val="2"/>
        <scheme val="minor"/>
      </rPr>
      <t xml:space="preserve"> </t>
    </r>
    <r>
      <rPr>
        <sz val="20"/>
        <color theme="1"/>
        <rFont val="Calibri"/>
        <family val="2"/>
        <scheme val="minor"/>
      </rPr>
      <t>además se realizó una invitación pública a  los organismos deportivos del departamento de Bolívar y el Distrito de Cartagena de Indias, cuyos atletas de la categoria de mayores se encuentre clasificados o seleccionados para representar a Colombia en los campeonatos mundiales, fueron seleccionados 6 deportistas.</t>
    </r>
    <r>
      <rPr>
        <b/>
        <sz val="20"/>
        <color theme="1"/>
        <rFont val="Calibri"/>
        <family val="2"/>
        <scheme val="minor"/>
      </rPr>
      <t xml:space="preserve"> </t>
    </r>
    <r>
      <rPr>
        <sz val="20"/>
        <color theme="1"/>
        <rFont val="Calibri"/>
        <family val="2"/>
        <scheme val="minor"/>
      </rPr>
      <t>Link:     https://ider.gov.co/wp-content/uploads/2023/08/RES.-244-Publicacion-atletas-beneficiados-Padal-Mundial.pdf.</t>
    </r>
  </si>
  <si>
    <r>
      <rPr>
        <b/>
        <u/>
        <sz val="20"/>
        <color theme="1"/>
        <rFont val="Calibri"/>
        <family val="2"/>
        <scheme val="minor"/>
      </rPr>
      <t>A corte 20 de septiembre se realizaron:</t>
    </r>
    <r>
      <rPr>
        <b/>
        <sz val="20"/>
        <color theme="1"/>
        <rFont val="Calibri"/>
        <family val="2"/>
        <scheme val="minor"/>
      </rPr>
      <t xml:space="preserve">
</t>
    </r>
    <r>
      <rPr>
        <sz val="20"/>
        <color theme="1"/>
        <rFont val="Calibri"/>
        <family val="2"/>
        <scheme val="minor"/>
      </rPr>
      <t xml:space="preserve">Durante este período se publicó el listado total de 84 atletas postulados por los Organismos Deportivos correspondientes a la Quinta Invitación Pública para apoyo y/o incentivos 2023. Link https://ider.gov.co/wp-content/uploads/2023/09/RES.-271-publicacion-atletas-beneficiados-quinta-invitacion-publica-2023.pdf .                                                                                                                                                                                                                                                                                                                  </t>
    </r>
    <r>
      <rPr>
        <b/>
        <u/>
        <sz val="20"/>
        <color theme="1"/>
        <rFont val="Calibri"/>
        <family val="2"/>
        <scheme val="minor"/>
      </rPr>
      <t>A corte 20 de septiembre se realizaron:</t>
    </r>
    <r>
      <rPr>
        <sz val="20"/>
        <color theme="1"/>
        <rFont val="Calibri"/>
        <family val="2"/>
        <scheme val="minor"/>
      </rPr>
      <t xml:space="preserve">
Se inició el trámite para el pago de estímulos a seis (6) atletas adscritos a las Ligas Deportivas Departamentales, clasificados a Campeonatos Mundiales de Mayores 2023.
</t>
    </r>
  </si>
  <si>
    <r>
      <rPr>
        <b/>
        <u/>
        <sz val="20"/>
        <color theme="1"/>
        <rFont val="Calibri"/>
        <family val="2"/>
        <scheme val="minor"/>
      </rPr>
      <t>A corte 20 de octubre se realizaron:</t>
    </r>
    <r>
      <rPr>
        <b/>
        <sz val="20"/>
        <color theme="1"/>
        <rFont val="Calibri"/>
        <family val="2"/>
        <scheme val="minor"/>
      </rPr>
      <t xml:space="preserve">
</t>
    </r>
    <r>
      <rPr>
        <sz val="20"/>
        <color theme="1"/>
        <rFont val="Calibri"/>
        <family val="2"/>
        <scheme val="minor"/>
      </rPr>
      <t>Durante este período se publicó el listado total de 81 atletas beneficiados correspondientes a la Quinta Invitación Pública para apoyo y/o incentivos a Juegos Nacionales y Paranacionales 2023.
Durante este período se publicó el listado total de 2 atletas beneficiados correspondientes a la Invitación Pública para apoyo y/o incentivos Padal Panamericano 202</t>
    </r>
    <r>
      <rPr>
        <u/>
        <sz val="20"/>
        <color theme="1"/>
        <rFont val="Calibri"/>
        <family val="2"/>
        <scheme val="minor"/>
      </rPr>
      <t>3.</t>
    </r>
    <r>
      <rPr>
        <b/>
        <u/>
        <sz val="20"/>
        <color theme="1"/>
        <rFont val="Calibri"/>
        <family val="2"/>
        <scheme val="minor"/>
      </rPr>
      <t>A corte 20 de octubre se realizaron:</t>
    </r>
    <r>
      <rPr>
        <b/>
        <sz val="20"/>
        <color theme="1"/>
        <rFont val="Calibri"/>
        <family val="2"/>
        <scheme val="minor"/>
      </rPr>
      <t xml:space="preserve">
</t>
    </r>
    <r>
      <rPr>
        <sz val="20"/>
        <color theme="1"/>
        <rFont val="Calibri"/>
        <family val="2"/>
        <scheme val="minor"/>
      </rPr>
      <t>Se inició el trámite para el pago de estímulos a ochenta y tres (83) atletas adscritos a las Ligas Deportivas Departamentales, clasificados a Campeonatos Juegos Deportivos Nacionales y Paranacionales 2023 y Juegos Panamericanos Santiago 2023.</t>
    </r>
  </si>
  <si>
    <t xml:space="preserve">Número de eventos de carácter regional, nacional e internacional realizados y/o apoyados </t>
  </si>
  <si>
    <t>Se apoyarán 20 eventos deportivos de carácter regional,  nacional e internacional a realizarse en el Distrito de Cartagena de Indias</t>
  </si>
  <si>
    <t>2.1 Servicio de organización de eventos deportivos de alto rendimiento</t>
  </si>
  <si>
    <t>Apoyar eventos deportivos de carácter regional, nacional e internacional</t>
  </si>
  <si>
    <t xml:space="preserve">1. Se realizó la III Temporada de baloncesto Formativo JUEGA PARA DIVERTIRTE. Organizado por el club la tribu y la participación de deportistas de la escuela de iniciación y formación deportiva – IEFD. Fecha: 18-25 febrero / 4-11 marzo. Lugar COMPLEJO DEPORTIVO GIMNASIO IGNACIO AMADOR DE LA PEÑA
2. Se realizó el evento de Intercambio clasificatorio a torneos nacionales e internacionales de pesas con deportistas de la liga de pesas y deportistas de la escuela de iniciación y formación deportiva – IEFD. Fecha: 18-20 marzo. Lugar COLISEO CHICO DE HIERRO
3. Se realizó la 3ra. Versión RIO DE ATLETAS. Evento organizado por Casino Rio, donde participaron los  como docentes del área de recreación y usuarios del programa de estilos de vida saludables. Fecha: 19/03/2023. Lugar CASINO RIO – BOCAGRANDE
4. Se realizó el Torneo de Regional de voleibol playa. Evento organizado por el Club Valientes. Torneo distrital donde participaron los deportistas de la escuela de iniciación y formación deportiva. Fecha: 18-20 marzo. Lugar Playa Azul – La Boquilla 
5.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t>
  </si>
  <si>
    <r>
      <rPr>
        <u/>
        <sz val="20"/>
        <color theme="1"/>
        <rFont val="Calibri"/>
        <family val="2"/>
        <scheme val="minor"/>
      </rPr>
      <t>A corte 20 de Abril se realizaron:</t>
    </r>
    <r>
      <rPr>
        <sz val="20"/>
        <color theme="1"/>
        <rFont val="Calibri"/>
        <family val="2"/>
        <scheme val="minor"/>
      </rPr>
      <t xml:space="preserve">
	Se realizó el Campeonato Suramericano de Wingfoil entre el 23 al 26 de marzo. Playa Azul.
	Se realizó el evento de Natación Patacón Challenge entre los días 24 al 26 de marzo. Playa Azul.
	Se realizó el Oceanman 2023, los días 22 y 23 de marzo. Playa Azul.
	Se realizó el Campeonato Nacional de Ajedrez Sub-8 y Sub-14. Complejo de Raquetas.                                 </t>
    </r>
    <r>
      <rPr>
        <u/>
        <sz val="20"/>
        <color theme="1"/>
        <rFont val="Calibri"/>
        <family val="2"/>
        <scheme val="minor"/>
      </rPr>
      <t>A corte</t>
    </r>
    <r>
      <rPr>
        <sz val="20"/>
        <color theme="1"/>
        <rFont val="Calibri"/>
        <family val="2"/>
        <scheme val="minor"/>
      </rPr>
      <t xml:space="preserve"> </t>
    </r>
    <r>
      <rPr>
        <u/>
        <sz val="20"/>
        <color theme="1"/>
        <rFont val="Calibri"/>
        <family val="2"/>
        <scheme val="minor"/>
      </rPr>
      <t>20 de marzo se realizaron:</t>
    </r>
    <r>
      <rPr>
        <sz val="20"/>
        <color theme="1"/>
        <rFont val="Calibri"/>
        <family val="2"/>
        <scheme val="minor"/>
      </rPr>
      <t xml:space="preserve">                                                                                                                        </t>
    </r>
    <r>
      <rPr>
        <u/>
        <sz val="20"/>
        <color theme="1"/>
        <rFont val="Calibri"/>
        <family val="2"/>
        <scheme val="minor"/>
      </rPr>
      <t xml:space="preserve"> </t>
    </r>
    <r>
      <rPr>
        <sz val="20"/>
        <color theme="1"/>
        <rFont val="Calibri"/>
        <family val="2"/>
        <scheme val="minor"/>
      </rPr>
      <t xml:space="preserve">	Se realizó el evento de Intercambio clasificatorio a torneos nacionales e internacionales de pesas con deportistas de la liga de pesas y deportistas de la escuela de iniciación y formación deportiva – IEFD. Fecha: 18-20 marzo. Lugar COLISEO CHICO DE HIERRO . </t>
    </r>
    <r>
      <rPr>
        <u/>
        <sz val="20"/>
        <color theme="1"/>
        <rFont val="Calibri"/>
        <family val="2"/>
        <scheme val="minor"/>
      </rPr>
      <t xml:space="preserve"> </t>
    </r>
    <r>
      <rPr>
        <sz val="20"/>
        <color theme="1"/>
        <rFont val="Calibri"/>
        <family val="2"/>
        <scheme val="minor"/>
      </rPr>
      <t xml:space="preserve">  	Se realizó el Torneo de Regional de voleibol playa. Evento organizado por el Club Valientes. Torneo distrital donde participaron los deportistas de la escuela de iniciación y formación deportiva. Fecha: 18-20 marzo. Lugar Playa Azul – La Boquilla . 	Se realizó el Torneo  Nacional  G3  - Tenis. Evento de tenis de campo, organizado por la liga de tenis. Fecha: 17-20 marzo. Lugar Complejo de Raquetas 
Estos son eventos donde el IDER realiza un apoyo de escenarios y logístico, por lo cual no se tiene un registro o bases de datos de los participantes y/o beneficiarios.    Podemos decir , que en este periodo se apoyaron o realizaron 7 eventos.           </t>
    </r>
    <r>
      <rPr>
        <u/>
        <sz val="20"/>
        <color theme="1"/>
        <rFont val="Calibri"/>
        <family val="2"/>
        <scheme val="minor"/>
      </rPr>
      <t xml:space="preserve">                                                                                                                                                     </t>
    </r>
  </si>
  <si>
    <r>
      <rPr>
        <b/>
        <u/>
        <sz val="20"/>
        <color theme="1"/>
        <rFont val="Calibri"/>
        <family val="2"/>
        <scheme val="minor"/>
      </rPr>
      <t xml:space="preserve">A corte 20 de mayo : </t>
    </r>
    <r>
      <rPr>
        <sz val="20"/>
        <color theme="1"/>
        <rFont val="Calibri"/>
        <family val="2"/>
        <scheme val="minor"/>
      </rPr>
      <t xml:space="preserve">No se reporta avance o logro de la meta plan.
</t>
    </r>
  </si>
  <si>
    <r>
      <rPr>
        <b/>
        <u/>
        <sz val="20"/>
        <color theme="1"/>
        <rFont val="Calibri"/>
        <family val="2"/>
        <scheme val="minor"/>
      </rPr>
      <t>A corte 20 de Junio se realizaron:</t>
    </r>
    <r>
      <rPr>
        <sz val="20"/>
        <color theme="1"/>
        <rFont val="Calibri"/>
        <family val="2"/>
        <scheme val="minor"/>
      </rPr>
      <t xml:space="preserve">7 eventos para un total de 19 eventos de enero  a junio del 2023.
A corte se desarrollaron los siguientes eventos deportivos:
1.	VII Copa JFK de Taekwondo entre el 19 al 21 de mayo de 2023.
2.	Cuadrangular Internacional de Softbol masculino de bola Rápida entre el 25 al 28 de mayo de 2023.
3.	Ajedrez al Parque RCN, inaugurado el 27 de mayo de 2023.
4.	Maratón de Sueños - 5K desarrollado el día 28 de mayo de 2023.
5.	Campeonato Departamental de Judo desarrollado el día 3 de junio de 2023.
6.	Campeonato Panamericano de Squash – Mayores desarrollado entre los días 17 al 19 de junio de 2023.
7.	Campeonato Nacional de Mayores de Ajedrez. 8 al 12 de Junio de 2023.
</t>
    </r>
  </si>
  <si>
    <t xml:space="preserve">Se llevaron  a cabo o apoyaron  en este período nueve(9) eventos deportivos, los cuales fueron:                                                                                                 1.	La Tercera Válida Nacional de Squash el día 18 de julio.
2.	El I Torneo Internacional de Kickinball el día 17 de julio.
3.	El Torneo Internacional Colombian Baseball el día 15 de julio.
4.	El Torneo Regional de Béisbol Femenino el día 11 de julio.
5.	El Grand Slam de Taekwondo el día 10 de julio.
6.	El Festival Nacional de Tenis el día 10 de julio.
7.	El Premier League de Karate Do el día 8 de julio.
8.	El Torneo Internacional Máster de Natación el día 4 de julio.
9.	El Torneo de Tenis Dobles por categoría el día 3 de julio.                                                                                                                                                                                                                                                                                                                    </t>
  </si>
  <si>
    <t xml:space="preserve">A corte 20 de agosto se realizaron los siguientes eventos: 
1.	Torneo de Tenis y Valores el día 24 de julio de 2023.
2.	Acuatlón Armada Nacional de Colombia 21 de julio de 2023.
3.	Torneo Nacional G4 Bolívar de Tenis 28 al 30 de julio de 2023.
4.	Juega por tu barrio de Softbol 29 de julio de 2023.
5.	Encuentro Nacional de Talentos de Natación 18 al 21 de agosto de 2023.
6.	Copa Dolphins de Baloncesto 19 al 21 de julio de 2023,
7.	Torneo Nacional de Softbol Femenino 19 al 21 de agosto de 2023.
</t>
  </si>
  <si>
    <r>
      <rPr>
        <b/>
        <u/>
        <sz val="20"/>
        <color theme="1"/>
        <rFont val="Calibri"/>
        <family val="2"/>
        <scheme val="minor"/>
      </rPr>
      <t xml:space="preserve">       A corte 20 de septiembre se realizaron y/o apoyaron 5 eventos, los cuales son:</t>
    </r>
    <r>
      <rPr>
        <sz val="20"/>
        <color theme="1"/>
        <rFont val="Calibri"/>
        <family val="2"/>
        <scheme val="minor"/>
      </rPr>
      <t xml:space="preserve"> 
1.	Campeonato Nacional de Menores Femenino de Voleibol del 15 al 21 de septiembre de 2023.
2.	Campamento Nacional de Gimnasia Infantil 15 al 17 de septiembre de 2023.
3.	Torneo Nacional de Tenis ITF J30 del 9 al 15 de septiembre.
4.	Torneo Nacional de Clubes de Softbol Femenino del 19 al 21 de agosto de 2023.
5.	Copa Caribe de Patinaje el 20 de agosto de 2023.
                                                                                                                                                                          1.	
</t>
    </r>
  </si>
  <si>
    <t>Este mes de octubre se reportaron   tres (2) eventos : Campeonatos Nacionales de Atletismo U14 y U16 entre los días 30 de septiembre al 1 de octubre de 2023 en la ciudad de Valledupar. (48 atletas)Campeonato Liga Nacional de Fútbol de Salón Betplay 2023, el día 17 de octubre de 2023 en la ciudad de Medellín. (12 atletas),Torneo Nacional de Béisbol Plus50 Sénior Máster.</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</si>
  <si>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</si>
  <si>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</si>
  <si>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</si>
  <si>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1.1 Servicio de apoyo a la actividad física, la recreación y el deporte</t>
  </si>
  <si>
    <t>Realizar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</si>
  <si>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</si>
  <si>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</si>
  <si>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</si>
  <si>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1.1.1 Realizar campañas informativas sobre el deporte social ante la comunidad</t>
  </si>
  <si>
    <t>INTEGRACIÓN COMUNITARIA A TRAVÉS DEL DEPORTE COMO HERRAMIENTA PARA LA INCLUSIÓN SOCIAL DESDE LOS DIFERENTES ENFOQUES POBLACIONALES  CARTAGENA DE INDIAS</t>
  </si>
  <si>
    <t>2.3.4301.1604.2021130010011</t>
  </si>
  <si>
    <t xml:space="preserve">1.	Se inicio la contratación del personal, conformado el equipo de trabajo de Deporte Social Comunitario. Esto se realizó entre las fechas del 12 al 25 de enero del 2023
2.	Se trabajo en la realización de los análisis y presupuestos por cada una de las estrategias del programa, basados en los recursos disponibles para esta vigencia 2023.
3.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2023.
4.	Se ajusto el cronograma de los juegos y competencias de la vigencia 2022, los cuales se retomarán a partir del mes de febrero.                                            5. Realizamos actividades en los Centro Penitenciarios y Carcelarios que beneficiaron a 115 personas , distribuidos en 35 mujeres y 80 hombres.                      6.Se realizaron actividades con la poblaciòn en condiciòn de discapacidad preparatorias para un clasificatorio (4 deportistas) ademàs se llevaron a cabo mesas de trabajo y visitas a las fundaciones.
</t>
  </si>
  <si>
    <r>
      <t>1. Se trabajó en la realización de los cronogramas y actividades a desarrollar para la realización de los juegos y competencias en las distintas estrategias.
Reunión con dirección, jefe de fomento deportivo, jefe de área y equipo de trabajo, para revisar el calendario de trabajo, las fechas programadas para las distintas actividades en cada una de las estrategias, en las fases que componen el programa, revisión de presupuesto y otras especificaciones técnicas. 2.Se retomaron las competencias y juegos de las estrategias para continuidad de los juegos comunales vigencia 2022. 3.La estrategia de Juegos carcelarios realizo actividades de socialización con los centros penitenciarios y las fundaciones para la atención SRPA, los planes y cronogramas de actividades para la vigencia 2023. 4.La estrategia de Juegos de la discapacidad realizó socializaciones de los planes y acciones a realizar para la vigencia 2023, con las fundaciones, entes comunales y entrenadores.</t>
    </r>
    <r>
      <rPr>
        <b/>
        <u/>
        <sz val="20"/>
        <color theme="1"/>
        <rFont val="Calibri"/>
        <family val="2"/>
        <scheme val="minor"/>
      </rPr>
      <t xml:space="preserve">   Producto # 8:  </t>
    </r>
    <r>
      <rPr>
        <sz val="20"/>
        <color theme="1"/>
        <rFont val="Calibri"/>
        <family val="2"/>
        <scheme val="minor"/>
      </rPr>
      <t>Se iniciaron las actividades recreodeportivas en los centros penitenciarios y fundaciones que atienden a jóvenes del sistema de respetabilidad penal – SRPA. Total de población atendida 150 personas .</t>
    </r>
    <r>
      <rPr>
        <b/>
        <u/>
        <sz val="20"/>
        <color theme="1"/>
        <rFont val="Calibri"/>
        <family val="2"/>
        <scheme val="minor"/>
      </rPr>
      <t xml:space="preserve">Producto # 9: </t>
    </r>
    <r>
      <rPr>
        <sz val="20"/>
        <color theme="1"/>
        <rFont val="Calibri"/>
        <family val="2"/>
        <scheme val="minor"/>
      </rPr>
      <t xml:space="preserve">Se iniciaron los entrenamientos en la disciplina deportiva de natación. En total de población atendida en los entrenamientos deportivos del mes de febrero fue de 76 deportistas. Se realizó festival predeportivo y recreativo con personas con discapacidad de la localidad de la Virgen y Turística en articulación con la alcaldía local y el comité local de discapacidad. Población atendida 96 niños, niñas y jóvenes. 
</t>
    </r>
  </si>
  <si>
    <t>A la fecha no sean realizado cada unas de las estrategía pero estamos realizando actividades recreo-deportivas.</t>
  </si>
  <si>
    <t xml:space="preserve">Se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solicitó al  Ministerio de Deporte información sobre las fechas de iniciación de la etapa departamental, dando se tuvo respuesta que aún no hay una fecha determinada para esta etapa. De acuerdo con el cronograma, se proyecta reuniones con el presidente de la FEDEJAC y presidentes de las ASOJAC para la segunda semana del mes de mayo; con el fin de socializar el proyecto de los juegos comunales vigencia 2023.                                                                                                                                                                                                                             Desde la estrategia de Juegos Afro se apoyó y acompaño la actividad de Intercambio deportivo que se realizó con una selección de jugadores participantes de los juegos Afro con el club Cajasai de San Andrés Isla, con el objetivo de fortalecer el deporte competitivo y afianzar lazos de amistades entre las dos ciudades. En este intercambio se realizaron competencias deportivas en la disciplina deportiva de Futbol, entre los días  5 al 8 de abril, se jugaron varios partidos: futbol 7 en la cancha del Barrio Blas de Lezo – futbol 11 en la cancha del Barrio Los Calamares.                                                                                                                                                                     Se realizaron visitas  a los cabildos y diálogos permanentes con las autoridades de cada cabildo para identificar sus necesidades y ajustes en las dinámicas de  los juegos tradicionales indígenas.  Dentro del cronograma está estipulado en el mes de Mayo realizar entrenamientos preparativos de Futsalon en cada Cabildo, con la finalidad motivar  la participación y la práctica del  deporte en disciplinas específicas; así mismo realizara  la Convocatoria y se compartirá la información a través de la página institucional y los diferentes medios o redes sociales,  acerca de los juegos indígenas en el desarrollando una política incluyente.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Se continuará trabajando las acciones que conlleven a la ejecución de la meta.                                                                        Realización de mesas de trabajo con el equipo de discapacidad para la planificación y organización de las actividades a desarrollar para el cumplimento de las acciones y metas referente a los juegos de la discapacidad. 
Se realizaron cuatro (4) actividades pre-deportivas con entidades trabajan en favor de las personas con discapacidad:  
Corporación Mente Activa Fundación Aluna Institución Educativa Soledad Román de Núñez Comfenalco El objetivo de la activad es motivarlos y hacer un proceso de preparación a los Juegos Distritales de la Discapacidad 2023. Dentro de la estrategia se realiza una atención de motivación y preparación a las personas en condición de discapacidad en la disciplina de natación de forma regular. </t>
  </si>
  <si>
    <r>
      <t xml:space="preserve">Para el año 2023 , se continuaron  con juegos de Deporte Social y Comunitario  de la vigencia 2022 donde participaron 3.000 personas , se realizaron actividades pre-deportivas con la comunidades y personas en condición de discapacidad  las cuales fueron 822 personas  y s e realizaron actividades en los Centros Penitenciarios y Carcelarios que beneficiaron a 115 personas, distribuidos en 35 mujeres y 80 hombres, para un total de 3.941  personas beneficiadas.                                                           </t>
    </r>
    <r>
      <rPr>
        <b/>
        <u/>
        <sz val="20"/>
        <color theme="1"/>
        <rFont val="Calibri"/>
        <family val="2"/>
        <scheme val="minor"/>
      </rPr>
      <t>A corte 20 de mayo se reporta:</t>
    </r>
    <r>
      <rPr>
        <sz val="20"/>
        <color theme="1"/>
        <rFont val="Calibri"/>
        <family val="2"/>
        <scheme val="minor"/>
      </rPr>
      <t xml:space="preserve">
Durante el período referente al presente informe comprendido entre el 21 de abril y el 20 de mayo de 2023 en relación con la meta, se continúa desarrollaron las distintas actividades previas necesarias para su cumplimiento y ejecución de cada una de las estrategias.
Las estrategias de juegos carcelarios y juegos de la discapacidad realizaron actividades de intervención periódicas con sus diferentes grupos de atención. 
</t>
    </r>
    <r>
      <rPr>
        <b/>
        <u/>
        <sz val="20"/>
        <color theme="1"/>
        <rFont val="Calibri"/>
        <family val="2"/>
        <scheme val="minor"/>
      </rPr>
      <t xml:space="preserve">
A corte 20 de abril se reporta: 
</t>
    </r>
    <r>
      <rPr>
        <sz val="20"/>
        <color theme="1"/>
        <rFont val="Calibri"/>
        <family val="2"/>
        <scheme val="minor"/>
      </rPr>
      <t xml:space="preserve">Durante el período referente al presente informe comprendido entre el 21 de marzo y el 20 de abril de 2023 en relación con la meta, se continúa desarrollaron las distintas actividades previas necesarias para su cumplimiento y ejecución de cada una de las estrategias, entre las cuales los planes logísticos de implementación y dotación y, la logística de los eventos, la cual está se envió al área de jurídica para su trámite y proceso contractual.                                                                                                                                                                                     
A corte 20 de mayo se reporta: En desarrollo de las labores de la Coordinación de los Juegos Deportivos Corregimentales; se ha estado brindando asesoría y acompañamiento técnico al área de deporte del IDER, en la elaboración del documento que contiene las Normas Reglamentarias de dichos juegos en la versión del 2023. Se continuó con la realización de las reuniones semanales con temas referentes a la organización y desarrollo de la versión 2023 de los Juegos Deportivos Corregimentales. En estas reuniones han participado los Monitores Deportivos de los Corregimientos y Veredas participantes en dichos Juegos. Se cumplió con lo estipulado en el documento técnico Propuesta de Innovación Juegos Deportivos Distritales Corregéntales 2023. Es así como el 10 de mayo se culminó el ciclo de eventos académicos programados en el marco de los talleres sobre el uso de la pedagogía social en el deporte, para la generación de una cultura ciudadana. Esta iniciativa se adelantó mediante la articulación del Instituto Distrital de Deporte y Recreación IDER y la Universidad del SINU Seccional Cartagena. Se clausuro el 29 de mayo del 2023, certificando en competencias ciudadanas a dirigentes, monitores y entrenadores deportivos de las comunidades participantes en dichos juegos. Todo enfocado a potenciar entre ellos liderazgos individuales y colectivos enfocados a la transformación social. 
De igual manera, se estructuro documento con insumos para la elaboración de los estudios previos de la contratación de los Juegos Deportivos Social Comunitarios 2023. Dicho material se le envió a la Dirección de Fomento y Oficina Jurídica del IDER. Como apoyo al área de Deporte en la organización logística para contribuir con el buen desarrollo del proyecto de dichos Juegos.
</t>
    </r>
    <r>
      <rPr>
        <b/>
        <u/>
        <sz val="20"/>
        <color theme="1"/>
        <rFont val="Calibri"/>
        <family val="2"/>
        <scheme val="minor"/>
      </rPr>
      <t>A corte 20 de abril se reporta:</t>
    </r>
    <r>
      <rPr>
        <sz val="20"/>
        <color theme="1"/>
        <rFont val="Calibri"/>
        <family val="2"/>
        <scheme val="minor"/>
      </rPr>
      <t xml:space="preserve">
Durante el período referente al presente informe comprendido entre el 21 de marzo y el 20 de abril de 2023 en la proyección y organización de los Juegos Corregéntales 2023, se adelantaron diferentes acciones. Es así como En relación con la meta, se desarrollaron las distintas actividades previas necesarias para su cumplimiento y ejecución de cada una de las estrategias, entre los cuales tenemos planes logísticos de implementación y dotación y la logística de los eventos, la cual está en la etapa de revisión y adjudicación.  A continuación relacionamos las acciones adelantadas:
Se elaboró una matriz con la información de las especificaciones técnicas de los insumos de los juegos; información necesaria para la adquisición de la dotación e implementación requerida para su desarrollo.
En apoyo al fortalecimiento del Capital Humano, al servicio de la oferta deportiva y recreativa de los Juegos Corregímentales. Se continúa con el ciclo de talleres sobre el uso de la pedagogía social en el deporte en la generación de una cultura ciudadana. 
Se realizan reuniones semanales con los Monitores Deportivos de los Corregimientos y Veredas participantes en los juegos, teniendo como objetivo la organización y realización la versión 2023.
De acuerdo a la responsabilidad de suministrar la información necesaria al equipo de comunicaciones del IDER, para divulgar las acciones ejecutadas en el marco del desarrollo del programa. Se publicó en el informativo El Líder Deportivo el artículo: política pública distrital de deporte y recreación- una visión prospectiva de la ciudad.  A corte 20 de mayo se realizaron:
Se asistió a la reunión interinstitucional encabezada por la secretaria del interior mediante la oficina de asuntos étnicos, donde se trató la medición de capacidades para la equidad a grupos indígenas y afrocolombianos, se contó con la participación de diferentes entidades públicas del distrito. Fecha 3 de mayo del 2023.
Se realizaron visitas a los cabildos Kaizeba (Bayunca), Kaizerupab (Pasacaballos) y diálogos permanentes los días 10 y 11 de mayo del 2023, con las autoridades de cada cabildo para identificar sus necesidades y ajustes en las dinámicas de los juegos tradicionales indígenas, y ajustar las fechas en que se estarán realizando las actividades deportivas. 
En el Cabildo Kaizem se realizaron actividades deportivas con los niños y jóvenes de la comunidad que han estado vinculados a los juegos indígenas de vigencias anteriores. La actividad fue realizada el día 20 de mayo. Beneficiaron a 50 personas entre niños y adultos. En cabeza de la autoridad del capitán del cabildo DANIEL CASTILLO. 
</t>
    </r>
    <r>
      <rPr>
        <b/>
        <u/>
        <sz val="20"/>
        <color theme="1"/>
        <rFont val="Calibri"/>
        <family val="2"/>
        <scheme val="minor"/>
      </rPr>
      <t xml:space="preserve">A corte 20 de abril se realizaron: 
</t>
    </r>
    <r>
      <rPr>
        <sz val="20"/>
        <color theme="1"/>
        <rFont val="Calibri"/>
        <family val="2"/>
        <scheme val="minor"/>
      </rPr>
      <t xml:space="preserve">Se realizaron visitas a los cabildos y diálogos permanentes con las autoridades de cada cabildo para identificar sus necesidades y ajustes en las dinámicas de los juegos tradicionales indígenas. 
Dentro del cronograma está estipulado en el mes de mayo realizar entrenamientos preparativos de Futsalon en cada Cabildo, con la finalidad motivar  la participación y la práctica del  deporte en disciplinas específicas; así mismo realizará  la Convocatoria y se compartirá la información a través de la página institucional y los diferentes medios o redes sociales, acerca de los juegos indígenas en el desarrollando una política incluyente. </t>
    </r>
  </si>
  <si>
    <r>
      <rPr>
        <b/>
        <u/>
        <sz val="20"/>
        <color theme="1"/>
        <rFont val="Calibri"/>
        <family val="2"/>
        <scheme val="minor"/>
      </rPr>
      <t>A corte 20 de junio se reporta:</t>
    </r>
    <r>
      <rPr>
        <sz val="20"/>
        <color theme="1"/>
        <rFont val="Calibri"/>
        <family val="2"/>
        <scheme val="minor"/>
      </rPr>
      <t xml:space="preserve">
Durante el período referente al presente informe comprendido entre el 21 de mayo y el 20 de junio de 2023 en relación con la meta, se continúa desarrollaron las distintas actividades previas necesarias para su cumplimiento y ejecución de cada una de las estrategias.
Las estrategias de juegos carcelarios y juegos de la discapacidad realizaron actividades de intervención periódicas con sus diferentes grupos de atención.
Las estrategias de Juegos corregimentales, comunales, indígenas y afros han realizados reuniones de socialización referente a los procesos de inscripción e inicio de los juegos con miembros y líderes de las comunidades. La estrategia de Juegos Comunales realizo (2) dos reuniones de socialización de los referentes de los juegos vigencia 2023, en las fechas 09/06/2023 y 14/06/2023. Donde se trataron temas tales como cronogramas y procesos de inscripción con los representantes de ASOJAC y FEDEJAC.
La estrategia de los Juegos Indígenas realizo (3) tres reuniones de socialización de los referentes de los juegos vigencia 2023, en las fechas 23/05/2023 – 02/06/2023 y 06/06/2023. Donde se trataron los referentes a las disciplinas encéntrales, referentes de los juegos y el proceso de inscripción con los capitanes de los cabildos Kaizem y Kaizerupab.                                         </t>
    </r>
    <r>
      <rPr>
        <b/>
        <u/>
        <sz val="20"/>
        <color theme="1"/>
        <rFont val="Calibri"/>
        <family val="2"/>
        <scheme val="minor"/>
      </rPr>
      <t>A corte 20 de junio se reporta:</t>
    </r>
    <r>
      <rPr>
        <sz val="20"/>
        <color theme="1"/>
        <rFont val="Calibri"/>
        <family val="2"/>
        <scheme val="minor"/>
      </rPr>
      <t xml:space="preserve">
En coherencia con las funciones adquiridas con la coordinación de los Juego Deportivos Corregimentales; se ha estado brindando asesoría y acompañamiento técnico al área de deporte del IDER, en la elaboración del borrador del documento que contiene los instructivos de competencia, de las disciplinas deportivas que hacen parte del desarrollo de dichos juegos en su versión del 2023. 
Se elabora y publica en el Boletín Informativo N°4 del IDER, el artículo titulado El Deporte Articulado con la Academia. Cabe precisar que en cumplimiento de la propuesta de innovación de los Juegos Corregiméntales 2023, se planteó la realización del “semillero de formación de formadores”, dirigido a monitores y entrenadores deportivos de las comunidades que conforman el área rural e insular de Cartagena. Todo con el fin de contribuir a edificar en ese contexto una sociedad con conciencia ciudadana; con individuos capaces de reconocer el valor y el respeto que merecen sus semejantes, de tener interacción con el entorno e interpretar la importancia de cada elemento e instituciones que lo conforman. Y sobre todo, de reflexionar sobre las consecuencias morales, culturales o jurídicas que tienen cada uno de sus actos. Es así como mediante la utilización del procedimiento metodológico de aprendizaje basado en problemas (ABP), se realizó el taller “Diamante Ciudadano”, que contó 50 personas inscritas, entre monitores y entrenadores deportivos, beneficiarios de los Juegos Corregímentales.  Se continúa con la dinámica de las reuniones semanales, con temas referentes a la organización y realización de la versión 2023 de los Juegos Deportivos Social Comunitario y en particular los Corregimentales. En estas reuniones han participado el Jefe del Área de Deportes, Coordinadores y Monitores Deportivos del IDER.  Cumplido el 10 de mayo el ciclo de eventos académicos programados en el marco de los talleres sobre el uso de la pedagogía social en el deporte, orientado a la generación de una cultura ciudadana. El día 29 de mayo del 2023, se llevó a cabo la clausura y entrega de Certificados de Asistencia a los Dirigentes, Monitores y Entrenadores Deportivos que cumplieron con los requisitos del taller en mención; este taller se desarrolló mediante la articulación del Instituto Distrital de Deporte y Recreación IDER y la Universidad del SINU Seccional Cartagena. Se realizó un ejercicio de retroalimentación del Proyecto Cambio Cultural, realizado entre el mes de agosto del 2022 hasta el mes de marzo del 2023; en el que participó la Secretaría de Infraestructura y el Instituto de Distrital de Deportes y Recreación –IDER. Evento que fue dirigido por la Universidad Tecnológica de Bolívar y RIMISP. </t>
    </r>
    <r>
      <rPr>
        <b/>
        <u/>
        <sz val="20"/>
        <color theme="1"/>
        <rFont val="Calibri"/>
        <family val="2"/>
        <scheme val="minor"/>
      </rPr>
      <t xml:space="preserve">  A corte 20 de junio se reporta: </t>
    </r>
    <r>
      <rPr>
        <sz val="20"/>
        <color theme="1"/>
        <rFont val="Calibri"/>
        <family val="2"/>
        <scheme val="minor"/>
      </rPr>
      <t xml:space="preserve">Se realizó reunión con los presidentes de las ASOJAC y FEDEJAC, dónde se les dio a conocer el cronograma de los juegos comunales, además se les solicito las hojas de vida  de los coordinadores deportivos para ir preparando el proceso de contratacion. Fecha 09 de junio 2023. Se realizó reunión con los presidentes y coordinadores de deportes de cada ASOJAC y FEDEJAC, dónde se les dio a conocer los referentes de los juegos comunales 2023, se dio por iniciado el proceso de inscripción. Fecha 14 de junio 2023  .                                                                                                                            </t>
    </r>
  </si>
  <si>
    <r>
      <rPr>
        <b/>
        <u/>
        <sz val="20"/>
        <color theme="1"/>
        <rFont val="Calibri"/>
        <family val="2"/>
        <scheme val="minor"/>
      </rPr>
      <t xml:space="preserve">A corte 20 de junio se reporta: </t>
    </r>
    <r>
      <rPr>
        <sz val="20"/>
        <color theme="1"/>
        <rFont val="Calibri"/>
        <family val="2"/>
        <scheme val="minor"/>
      </rPr>
      <t xml:space="preserve">Se ajusta y pone en marcha el cronograma para el segundo semestre del 2023, donde se ajustan los procesos de organización logística propios de la inauguración, desarrollo y clausura de los Juegos Deportivos Corregiméntales 2023. De igual manera, se continúa con el proceso de  capacitaciones para el mejoramiento del capital humano al servicio de dichos juegos; mediantes Clínicas de las diferentes disciplinas deportivas que estarán en competencia en los torneos. Lo anterior complementado, con el desarrollo de Mesas Técnicas, en donde participan los diferentes líderes deportivos de las comunidades que conforman el área rural e insular del Distrito de Cartagena; estas mesas son espacios de dialógicos, en donde se analizan los problemas y causas que afectan al deporte en dichas comunidades y se plantean las diferentes soluciones. </t>
    </r>
    <r>
      <rPr>
        <b/>
        <u/>
        <sz val="20"/>
        <color theme="1"/>
        <rFont val="Calibri"/>
        <family val="2"/>
        <scheme val="minor"/>
      </rPr>
      <t xml:space="preserve">A corte 20 de julio se reporta: </t>
    </r>
    <r>
      <rPr>
        <sz val="20"/>
        <color theme="1"/>
        <rFont val="Calibri"/>
        <family val="2"/>
        <scheme val="minor"/>
      </rPr>
      <t xml:space="preserve">La estrategia de los juegos Afro realizó un torneo de Fútbol de salón en la cancha del barrio Santa Rita en la Rama Masculina, con el objetivo de promover el torneo de fútbol de salón en esta vigencia de los juegos Afro. Participaron los equipos: Petare,Los Cracks, Flamengo,Los Newpi .Para un total de 29 participantes deportistas. Fecha 21 y 22 de julio del 2023. </t>
    </r>
    <r>
      <rPr>
        <b/>
        <sz val="20"/>
        <color theme="1"/>
        <rFont val="Calibri"/>
        <family val="2"/>
        <scheme val="minor"/>
      </rPr>
      <t xml:space="preserve">A corte 20 de julio se reporta: </t>
    </r>
    <r>
      <rPr>
        <sz val="20"/>
        <color theme="1"/>
        <rFont val="Calibri"/>
        <family val="2"/>
        <scheme val="minor"/>
      </rPr>
      <t>La estrategia de juegos indígenas realizo una actividad predeportiva con el cabildo Kaizeba y pobladores del corregimiento de bayunca; se realizaron actividades de calentamiento, elongación, intercambio y preparación deportiva, se finalizó con tres partidos de futbol de salón. Participaron 100 personas entre niños (8 a 11 años), adolescentes y jóvenes (14 a 17 años) y adultos. Fecha 15 de julio del 2023. Se realizaron dos mesas de trabajo con los cabildos de Kaizeba (bayunca) y Kaizerupab (pasacaballos). Se trataron temas como: Número de inscriptos a la fecha, sistema de juego deporte convencional, escenarios a utilizar y vistas a los escenarios para ver su estado. Fechas 7 de julio y 14 de julio del 2023.</t>
    </r>
    <r>
      <rPr>
        <b/>
        <sz val="20"/>
        <color theme="1"/>
        <rFont val="Calibri"/>
        <family val="2"/>
        <scheme val="minor"/>
      </rPr>
      <t xml:space="preserve">A corte 20 de julio se reporta: </t>
    </r>
    <r>
      <rPr>
        <sz val="20"/>
        <color theme="1"/>
        <rFont val="Calibri"/>
        <family val="2"/>
        <scheme val="minor"/>
      </rPr>
      <t>La estrategia de juegos carcelarios realizo dos actividades predeportivas con los jóvenes de la SICC en el barrio bicentenario, donde se trabajaron las disciplinas de voleibol, baloncesto y futbol, participaron 144 entre NNA, adolescentes y jóvenes del sector. Fecha 6 y 15 de julio 2023. Así mismo la estrategia continúa con las actividades y asistencia a los centros penitenciarios y fundaciones del SRPA en sus cuatro actividades bases.</t>
    </r>
    <r>
      <rPr>
        <b/>
        <u/>
        <sz val="20"/>
        <color theme="1"/>
        <rFont val="Calibri"/>
        <family val="2"/>
        <scheme val="minor"/>
      </rPr>
      <t xml:space="preserve">A corte 20 de julio se reporta: </t>
    </r>
    <r>
      <rPr>
        <sz val="20"/>
        <color theme="1"/>
        <rFont val="Calibri"/>
        <family val="2"/>
        <scheme val="minor"/>
      </rPr>
      <t>Se realizaron actividades pre- deportivas con entidades que trabajan con personas con discapacidad como proceso de motivación y preparación a los Juegos Deportivos de la Discapacidad 2023 en el marco de la campaña “Únete a los Juegos”. Entidades que participaron:
Ø Fundación Aluna, Ø Fundación REI, Ø Centro Educativo Integral Moderno CEN, Ø Comfenalco. Ø Fundación Acción y</t>
    </r>
    <r>
      <rPr>
        <b/>
        <sz val="20"/>
        <color theme="1"/>
        <rFont val="Calibri"/>
        <family val="2"/>
        <scheme val="minor"/>
      </rPr>
      <t xml:space="preserve"> Vida</t>
    </r>
    <r>
      <rPr>
        <b/>
        <u/>
        <sz val="20"/>
        <color theme="1"/>
        <rFont val="Calibri"/>
        <family val="2"/>
        <scheme val="minor"/>
      </rPr>
      <t xml:space="preserve">
</t>
    </r>
    <r>
      <rPr>
        <sz val="20"/>
        <color theme="1"/>
        <rFont val="Calibri"/>
        <family val="2"/>
        <scheme val="minor"/>
      </rPr>
      <t>Mesa de trabajo con el equipo de discapacidad virtual para organizar las actividades de cada semana referente a la campaña “Únete a los Juegos” las cuales se desarrollan en las diferentes entidades que trabajan con personas con discapacidad. De forma regular se hace un proceso de entrenamiento deportivo a niños, niñas adolescentes, jóvenes y personas adultas en los deportes de natación y atletismo para la participación a los Juegos Distritales Deportivos de la Discapacidad 2023.
Socialización de los Juegos de la Discapacidad en la Institución Educativa Juan Salvador Gaviota, Fundación Aluna con los coordinadores y estudiantes.
Socialización de los Juegos de la Discapacidad y mesa de trabajo con los presidentes de los Clubes Deportivos y entrenadores que trabajan con personas con discapacidad
Vacacional de Natación en el marco de la Campaña Únete a los Juegos donde participaron diferentes entidades que trabajan con personas con discapacidad</t>
    </r>
  </si>
  <si>
    <r>
      <rPr>
        <u/>
        <sz val="20"/>
        <color theme="1"/>
        <rFont val="Calibri"/>
        <family val="2"/>
        <scheme val="minor"/>
      </rPr>
      <t>A corte 20 de agosto se reporta:</t>
    </r>
    <r>
      <rPr>
        <sz val="20"/>
        <color theme="1"/>
        <rFont val="Calibri"/>
        <family val="2"/>
        <scheme val="minor"/>
      </rPr>
      <t xml:space="preserve">
Se continúa con la dinámica de las reuniones semanales, con temas referentes a la organización y realización de la versión 2023 de los Juegos Deportivos Social Comunitario. Estas reuniones se han contado con la participación del jefe del Área de Deportes, Coordinadores y Monitores Deportivos.                                                                                                                                                                                                                                                                                                                                                                   </t>
    </r>
    <r>
      <rPr>
        <b/>
        <u/>
        <sz val="20"/>
        <color theme="1"/>
        <rFont val="Calibri"/>
        <family val="2"/>
        <scheme val="minor"/>
      </rPr>
      <t>A corte 20 de agosto se reporta:</t>
    </r>
    <r>
      <rPr>
        <sz val="20"/>
        <color theme="1"/>
        <rFont val="Calibri"/>
        <family val="2"/>
        <scheme val="minor"/>
      </rPr>
      <t xml:space="preserve">
El 19 de julio se realizó la mesa de trabajo, donde asistieron en representación de la zona sur: por el área del Canal del Dique integrado por Pasacaballos y sus veredas Luis Morelos Julio. Por las Islas de Barú, del Rosario e Isla Fuerte Fabricio Julio Miranda y por la Isla de Tierra bomba Luis Alberto Herrera Cardales. En la zona norte: por el Corregimiento de La Boquilla y sus veredas Albeiro Carmona Torres. Por Bayunca, Pontezuela y Punta Canoa Miguel Jurado Gómez y por Arroyo de Piedra, Arroyo Grande y sus respectivas veredas Jarlie Noriega Núñez. Se contó, además, con el acompañamiento de Ana Revollo Ortega, integrante de la Junta Directiva del IDER. Lo anterior orientado a generar espacios de diálogos, direccionados a brindar nuestra contribución con el mejoramiento, de unos juegos considerados “patrimonio deportivo” de nuestros corregimientos y veredas. Es así como el 21 de julio se realizó la primera sección de dichas mesas. Se adelanta el proceso de organización del II Torneo Deportivo REFICAR-IDER 2023 Zona Industrial de Mamonal. Se realiza reunión con los delegados de las comunidades participantes, iniciándose el proceso de la inscripción de dichas comunidades en el torneo.                                                                                                                                                                                                                                                                                                   </t>
    </r>
    <r>
      <rPr>
        <b/>
        <u/>
        <sz val="20"/>
        <color theme="1"/>
        <rFont val="Calibri"/>
        <family val="2"/>
        <scheme val="minor"/>
      </rPr>
      <t>A corte 20 de agosto se reporta:</t>
    </r>
    <r>
      <rPr>
        <sz val="20"/>
        <color theme="1"/>
        <rFont val="Calibri"/>
        <family val="2"/>
        <scheme val="minor"/>
      </rPr>
      <t xml:space="preserve">
La estrategia de juegos Afro realizo una mesa de trabajo con los coordinadores de las otras estrategias, donde se organizaron y planearon actividades de los eventos deportivos Afro. Fecha 04 de agosto del 2023.
Se desarrollaron competencias amistosas en diferentes disciplinas, con las cuales se buscó motivar e incentivar la participación de los próximos juegos Afro en las comunidades. (futbol de salón, voleibol y golito), participaron 60 personas (masculino 30 – femenino 30, todos entre 18 a 30 años). Fecha 18, 19, 24 y 25 de agosto del 2023.                                                                                                                                                        </t>
    </r>
    <r>
      <rPr>
        <b/>
        <u/>
        <sz val="20"/>
        <color theme="1"/>
        <rFont val="Calibri"/>
        <family val="2"/>
        <scheme val="minor"/>
      </rPr>
      <t xml:space="preserve"> A corte 20 de agosto se reporta: </t>
    </r>
    <r>
      <rPr>
        <sz val="20"/>
        <color theme="1"/>
        <rFont val="Calibri"/>
        <family val="2"/>
        <scheme val="minor"/>
      </rPr>
      <t xml:space="preserve">La estrategia de juegos indígenas realizo socialización de actividades predeportivas en el cabildo Kaizerupab (pasacaballos), donde asistió el capitán Robinson González (Autoridad Máxima del cabildo) fecha 01 de agosto del 2023 La estrategia de juegos indígenas realizo socialización de actividades predeportivas en el cabildo Kankuamo (villa corelca), donde asistió el capitán Nolbel Alvarado Coordinador deportivo del cabildo). fecha 02 de agosto del 2023
Se desarrollo la actividad recreodeportiva con los niños de los cabildos Kaizen (membrillar), Kaizerupab (pasacaballos), Kaizeba (Bayunca) e Inga del Putumayo, donde asistieron 120 niños de estas comunidades, en el marco del día Internacional de los pueblos Indígenas. Lugar parque del Manglar, fecha 12 de agosto. No se tiene los datos de la caracterización, por solo se asistió como entidad de apoyo.                                        </t>
    </r>
    <r>
      <rPr>
        <b/>
        <u/>
        <sz val="20"/>
        <color theme="1"/>
        <rFont val="Calibri"/>
        <family val="2"/>
        <scheme val="minor"/>
      </rPr>
      <t xml:space="preserve"> A corte 20 de agosto se reporta:</t>
    </r>
    <r>
      <rPr>
        <sz val="20"/>
        <color theme="1"/>
        <rFont val="Calibri"/>
        <family val="2"/>
        <scheme val="minor"/>
      </rPr>
      <t xml:space="preserve">
Se realizo un minicampeonato de baloncesto con los reclusos de la cárcel penitencial de ternera,  participaron 100 personas (entre 18 a 56 años). Fecha 20 de julio al 20 de agosto del 2023. 
Así mismo la estrategia continúa con las actividades y asistencia a los centros penitenciarios y fundaciones del SRPA en sus cuatro actividades bases. 
A corte de 20 de agosto se reporta
Se realizaron actividades predeportivas de forma regular con entidades que trabajan con personas con discapacidad con el objetivo de motivarlos y prepararlos a participar en los próximos Juegos Deportivos de la Discapacidad 2023: 
	Fundación Aluna
	Fundación REI
	Comfenalco
	Fundación Acción y Vida 
	Institución Educativa Juan Salvador Gaviota
	Institución Educativa Antonia Santos
	Comunidad Barrio Huellas de Alberto Uribe 
	Corporación Mente Activa
De forma regular se hace un proceso de entrenamiento deportivo a niños, niñas adolescentes, jóvenes y personas adultas en los deportes de natación y atletismo para la participación a los Juegos Distritales Deportivos de la Discapacidad 2023.
Se desarrollaron dos festivales deportivos en las disciplinas de baloncesto y boccia con el objetivo de motivarlos a participar en los Juegos Distritales Deportivos de la Discapacidad 2023 y seguir masificando el deporte adaptado en la ciudad de Cartagena de Indias.
Socialización al Comité Local de Discapacidad de la Localidad de la Virgen y Turística toda nuestra oferta institucional para las personas con discapacidad donde los Juegos Distritales de la Discapacidad 2023 son un papel muy importante como espacio de participación de esta población.
</t>
    </r>
  </si>
  <si>
    <r>
      <rPr>
        <b/>
        <u/>
        <sz val="20"/>
        <color theme="1"/>
        <rFont val="Calibri"/>
        <family val="2"/>
        <scheme val="minor"/>
      </rPr>
      <t>A corte 20 de septiembre se reporta:</t>
    </r>
    <r>
      <rPr>
        <sz val="20"/>
        <color theme="1"/>
        <rFont val="Calibri"/>
        <family val="2"/>
        <scheme val="minor"/>
      </rPr>
      <t xml:space="preserve">
Se continúa con la dinámica de las reuniones semanales, con temas referentes a la organización y realización de la versión 2023 de los Juegos Deportivos Social Comunitario. Estas reuniones se han contado con la participación del jefe del Área de Deportes, Coordinadores y Monitores Deportivos
</t>
    </r>
    <r>
      <rPr>
        <b/>
        <u/>
        <sz val="20"/>
        <color theme="1"/>
        <rFont val="Calibri"/>
        <family val="2"/>
        <scheme val="minor"/>
      </rPr>
      <t>A corte 20 de septiembre se reporta:</t>
    </r>
    <r>
      <rPr>
        <sz val="20"/>
        <color theme="1"/>
        <rFont val="Calibri"/>
        <family val="2"/>
        <scheme val="minor"/>
      </rPr>
      <t xml:space="preserve">
Se programo la Mesa de Trabajo con los Monitores representantes de los diferentes corregimientos. En esta mesa se han venido discutiendo los temas referentes a los problemas de infraestructura deportiva y la insuficiente organización deportiva comunitaria, a raíz de los pocos organismos deportivos existentes en las comunidades que participan en los Juegos Corregimentales. Estas se realizan de forma regular todos los miércoles de cada semana. 
Reuniones de capacitación a los monitores que harán parte de los juegos corregimentales para la organización logística. Estas se realizan de forma regular todos los miércoles de cada semana.  </t>
    </r>
    <r>
      <rPr>
        <b/>
        <u/>
        <sz val="20"/>
        <color theme="1"/>
        <rFont val="Calibri"/>
        <family val="2"/>
        <scheme val="minor"/>
      </rPr>
      <t xml:space="preserve">A corte 20 de septiembre se reporta: </t>
    </r>
    <r>
      <rPr>
        <sz val="20"/>
        <color theme="1"/>
        <rFont val="Calibri"/>
        <family val="2"/>
        <scheme val="minor"/>
      </rPr>
      <t xml:space="preserve">Se trabajo en la alianza REFIDER para el segundo torneo deportivo Comunal Refinería Cartagena – IDER. La inauguración se tiene programada para el próximo 24 de septiembre del 2023. Este torneo reúne a diferentes barrios de la localidad tres como zana de influencia de la zona industrial de la empresa de Reficar. Se proyecta un impacto de 902 deportistas entre 10 a 15 años. </t>
    </r>
    <r>
      <rPr>
        <b/>
        <u/>
        <sz val="20"/>
        <color theme="1"/>
        <rFont val="Calibri"/>
        <family val="2"/>
        <scheme val="minor"/>
      </rPr>
      <t>A corte 20 de septiembre se</t>
    </r>
    <r>
      <rPr>
        <sz val="20"/>
        <color theme="1"/>
        <rFont val="Calibri"/>
        <family val="2"/>
        <scheme val="minor"/>
      </rPr>
      <t xml:space="preserve"> </t>
    </r>
    <r>
      <rPr>
        <b/>
        <u/>
        <sz val="20"/>
        <color theme="1"/>
        <rFont val="Calibri"/>
        <family val="2"/>
        <scheme val="minor"/>
      </rPr>
      <t>reporta:</t>
    </r>
    <r>
      <rPr>
        <sz val="20"/>
        <color theme="1"/>
        <rFont val="Calibri"/>
        <family val="2"/>
        <scheme val="minor"/>
      </rPr>
      <t xml:space="preserve">
La estrategia de los juegos Afro realizo juegos pre-competencias Afro, donde participaron las fundaciones Africaribe y las comunidades de los Barrios de santa Rita, comuneros, san pedro libertad, se realizaron varios partidos de carácter amistoso promocionando el torneo de futbol de salón de los Juegos Afros 2023. Se obtuvo una participación de 40 personas directas, total indirectas 80 personas. Fecha 8,9,15,16,22,23 de septiembre del 2023. A corte 20 de septiembre se reporta:
Se está en la organización y preparación de la inauguración al II torneo deportivo Comunal Refinería Cartagena / IDER – REFIDER.  La inauguración se tiene programada para el próximo 24 de septiembre del 2023. Este torneo reúne a diferentes barrios de la localidad tres como zana de influencia de la zona industrial de la empresa de Reficar. Se proyecta un impacto de 902 deportistas.
</t>
    </r>
  </si>
  <si>
    <r>
      <rPr>
        <b/>
        <u/>
        <sz val="20"/>
        <color theme="1"/>
        <rFont val="Calibri"/>
        <family val="2"/>
        <scheme val="minor"/>
      </rPr>
      <t>A corte 20 de octubre se reporta:</t>
    </r>
    <r>
      <rPr>
        <sz val="20"/>
        <color theme="1"/>
        <rFont val="Calibri"/>
        <family val="2"/>
        <scheme val="minor"/>
      </rPr>
      <t xml:space="preserve">
 Se continúa con la dinámica de las reuniones semanales, con temas referentes a la organización y realización de la versión 2023 de los Juegos Deportivos Social Comunitario. Estas reuniones se han contado con la participación del jefe del Área de Deportes, Coordinadores y Monitores Deportivos
Se están realizando las competencias de los juegos REFIDER 2023. Donde participan 24 barrios en el área de influencia de la Refinería de Cartagena de la zona industrial de Mamonal. Se benefician a 902 NNA entre las edades de 10 a015 años. Las disciplinas en competencia son: Atletismo, Beisbol, Futbol, Futbol de Salón, Taekwondo, Voleibol y las actividades de Kickball y de personas en situación de discapacidad.                                                                                                             </t>
    </r>
    <r>
      <rPr>
        <b/>
        <u/>
        <sz val="20"/>
        <color theme="1"/>
        <rFont val="Calibri"/>
        <family val="2"/>
        <scheme val="minor"/>
      </rPr>
      <t>A corte 20 de octubre se reporta:</t>
    </r>
    <r>
      <rPr>
        <sz val="20"/>
        <color theme="1"/>
        <rFont val="Calibri"/>
        <family val="2"/>
        <scheme val="minor"/>
      </rPr>
      <t xml:space="preserve">
Se programo la Mesa de Trabajo con los Monitores representantes de los diferentes corregimientos. En esta mesa se han venido discutiendo los temas referentes a los problemas de infraestructura deportiva y la insuficiente organización deportiva comunitaria, a raíz de los pocos organismos deportivos existentes en las comunidades que participan en los Juegos Corregimentales. Estas se realizan de forma regular todos los miércoles de cada semana. 
Reuniones de capacitación a los monitores que harán parte de los juegos corregimentales para la organización logística. Estas se realizan de forma regular todos los miércoles de cada semana                                                                                                                                                                                                                                                                                                                                               .</t>
    </r>
    <r>
      <rPr>
        <b/>
        <u/>
        <sz val="20"/>
        <color theme="1"/>
        <rFont val="Calibri"/>
        <family val="2"/>
        <scheme val="minor"/>
      </rPr>
      <t>A corte 20 de octubre se reporta:</t>
    </r>
    <r>
      <rPr>
        <sz val="20"/>
        <color theme="1"/>
        <rFont val="Calibri"/>
        <family val="2"/>
        <scheme val="minor"/>
      </rPr>
      <t xml:space="preserve">
Se continua con las programaciones de los juegos  REFIDER en su segundo torneo deportivo Comunal Refinería Cartagena – IDER. 
</t>
    </r>
    <r>
      <rPr>
        <b/>
        <u/>
        <sz val="20"/>
        <color theme="1"/>
        <rFont val="Calibri"/>
        <family val="2"/>
        <scheme val="minor"/>
      </rPr>
      <t xml:space="preserve">A corte 20 de octubre se reporta:
</t>
    </r>
    <r>
      <rPr>
        <sz val="20"/>
        <color theme="1"/>
        <rFont val="Calibri"/>
        <family val="2"/>
        <scheme val="minor"/>
      </rPr>
      <t xml:space="preserve">Se iniciaron las actividades precompetitivas de los juegos Afro, en las siguientes disciplinas deportivas futbol de salón (cancha barrio santa Rita), voleibol (cancha barrio de Lemaitre), futbol infantil (cancha barrio Colombiaton) y futbol femenino (cancha barrio los calamares), softbol (cancha barrio la Sierrita). Se tubo una participación de 140 personas de forma directa, entre las edades de 12 a 30 años. Fecha del 3 al 18 de octubre del 2023.                                                                                                                                                                                                                                                                               </t>
    </r>
    <r>
      <rPr>
        <b/>
        <sz val="20"/>
        <color theme="1"/>
        <rFont val="Calibri"/>
        <family val="2"/>
        <scheme val="minor"/>
      </rPr>
      <t xml:space="preserve"> </t>
    </r>
    <r>
      <rPr>
        <b/>
        <u/>
        <sz val="20"/>
        <color theme="1"/>
        <rFont val="Calibri"/>
        <family val="2"/>
        <scheme val="minor"/>
      </rPr>
      <t xml:space="preserve">A corte 20 de octubre se reporta: </t>
    </r>
    <r>
      <rPr>
        <sz val="20"/>
        <color theme="1"/>
        <rFont val="Calibri"/>
        <family val="2"/>
        <scheme val="minor"/>
      </rPr>
      <t xml:space="preserve">
Para este periodo se realizó una actividad predeportiva dirigida a el cabildo Kaizereupab (Pasacaballos). Se beneficiaron 40 jóvenes (14 a 17 años). Fecha 25 de septiembre del 2023. 
Se realizo una actividad predeportiva en el cabildo Kaizeba (Bayunca). Se beneficiaron 30 personas (28 a 60 años) principalmente en disciplinas ancestrales, como tiro con arco, corte de leña y pilon. Fecha 21 de octubre del 2023
</t>
    </r>
  </si>
  <si>
    <t>1.1.3 Divulgar las acciones y actividades desarrolladas en el proyecto</t>
  </si>
  <si>
    <t xml:space="preserve">1. Contratación asociada a los procesos de divulgación de las actividades del proyecto (radio, televisión, etc.) a través de Secop II 
</t>
  </si>
  <si>
    <t>Selección abreviada de menor cuantía</t>
  </si>
  <si>
    <t>2.1.1 Realizar el torneo de los juegos corregimentales</t>
  </si>
  <si>
    <t xml:space="preserve">1. Se realizó un taller formativo con la población de los cogerrimientos y veredas del distrito, dirigidos a monitores, entrenadores y líderes comunitarios de las localidades. Este taller se realizó el día 15 de marzo, en el auditorio de la universidad del Sinú, se contó con la asistencia de  50 personas; donde se trataron temas relacionados con la cultura ciudadana, construcción de ciudadanía a través de la práctica del deporte.  
2. Se realizó una reunión informativa con los líderes sociales de la comunidad afro y los representantes del laboratorio de paz, convivencia y seguridad urbana. Esta reunión se realizó en las oficinas del IDER – Chico de Hierro el día 14 de marzo a las 10:00 am, asistieron 7 personas. Se trataron los temas relacionados a los referentes de los juegos afros, como categorías y disciplinas deportivas, fechas y cronogramas de las competencias </t>
  </si>
  <si>
    <t>2.1.2 Realizar el torneo de los juegos comunales</t>
  </si>
  <si>
    <t>2.1.3 Realizar el torneo de los juegos afro, raizales, negros y palenqueros</t>
  </si>
  <si>
    <t>2.1.4 Realizar el torneo de los juegos indígenas</t>
  </si>
  <si>
    <t>2.1.5 Realizar el torneo de los juegos carcelarios</t>
  </si>
  <si>
    <t>2.1.6 Realizar el torneo de los juegos de personas en situación de discapacidad</t>
  </si>
  <si>
    <t>Número de eventos o torneos de deporte social comunitario con inclusión realizados y/o apoyados</t>
  </si>
  <si>
    <t>Se realizarán 15 eventos o torneos de deporte social comunitario con inclusión dirigidos a la comunidad</t>
  </si>
  <si>
    <t>3.1.1 Adquirir la dotación e implementación requerida para el desarrollo de los torneos</t>
  </si>
  <si>
    <t xml:space="preserve">Adquisición de uniformes e implementación deportiva a través de Secop II y bolsa mercantil </t>
  </si>
  <si>
    <t xml:space="preserve">A la fecha corte, no se reporta avance para esta meta, Juegos Comunales; En el cronograma de actividades se tiene proyectada la fecha de inicio del torneo de los juegos comunales para el mes de mayo. Los Juegos Afros:En el cronograma de actividades se tiene proyectada la fecha de inicio del torneo de los juegos afro para el mes de agosto. Se continuará trabajando las acciones que conlleven a esta ejecución. Se está en la etapa de programar la socialización y evaluación de actividades de innovación para la realización del torneo de juegos indígenas 2023. A la fecha de corte no se reporta avance relacionado al torneo de los juegos carcelarios, en el cronograma de actividades se tiene proyectada la fecha de inicio del torneo en el mes de agosto. Se trabajó en las intervenciones con las entidades carcelarias y unidades de servicio del sistema de responsabilidad penal.   
A la fecha de corte se realizaron cinco actividades recreodeportivas (cárcel distrital de mujeres, cárcel de ternera, fundación Talid y fundación construyendo ciudad) para un total de personas atendidas 141 . Se continuará trabajando las acciones que conlleven a la ejecución de la meta.-	A la fecha de corte no se reporta avance para esta meta, en el cronograma de actividades se tiene proyectada la fecha de inicio del torneo de los juegos distritales de la discapacidad para el mes de agosto. Se continuará trabajando las acciones que conlleven a esta ejecución. Mesas de trabajo con el equipo de discapacidad para la planificación y organización de las actividades a desarrollar para el cumplimento de las acciones y metas referente a los juegos  Dentro de la estrategia se realiza una atención de motivación y preparación a las personas en condición de discapacidad en natación y atletismo. Número de personas 96, esta actividad se realiza de forma regular. 
</t>
  </si>
  <si>
    <t>Los juegos se realizarán en el mes de junio de 2023 , se han llevado a cabo actividades pre-deportivas.</t>
  </si>
  <si>
    <r>
      <t xml:space="preserve">Los juegos se realizarán en el mes de junio de 2023 , se han llevado a cabo actividades pre-deportivas. Durante el Período del 1 al 20 de mayo de 2023 se realizaron las siguientes actividades :                                                                                                                                                                                                                                                                                                                                                                                         </t>
    </r>
    <r>
      <rPr>
        <b/>
        <sz val="20"/>
        <color theme="1"/>
        <rFont val="Calibri"/>
        <family val="2"/>
        <scheme val="minor"/>
      </rPr>
      <t>A 20 de mayo de 2023:</t>
    </r>
    <r>
      <rPr>
        <sz val="20"/>
        <color theme="1"/>
        <rFont val="Calibri"/>
        <family val="2"/>
        <scheme val="minor"/>
      </rPr>
      <t xml:space="preserve"> Se trabajó en las intervenciones en las entidades: Cárcel de mujer con actividades pre-deportivas, mesa de trabajo de derechos humanos sobre el desarrollo de los juegos carcelarios, se realizó los días 21, 28 de abril y 5, 12 y 19 de mayo. Se impactaron 20 personas por actividad, para un total de 100 beneficiarios. 
Cárcel de Terna se realizaron actividades pre-deportivas con el apoyo de los estudiantes de educación física de la universidad de san buenaventura, realizado el día 27 abril, se beneficiaron 70 personas. 
Fundación Talid se realizaron actividades pre- deportivas los días 26 de abril, 3, 10,17 de mayo. Se beneficiaron a 10 personas por actividad. 
Fundación Construyendo Ciudad y fundación Talid se realizó una actividad subacuática con los jóvenes de sistema de responsabilidad penal de las fundaciones, los días 2, 9, 16,23 de mayo, como propuesta pedagógica para implementar en el desarrollo de la práctica deportiva con esta población. Se beneficiaron 20 estudiantes por clases.  
</t>
    </r>
    <r>
      <rPr>
        <b/>
        <u/>
        <sz val="20"/>
        <color theme="1"/>
        <rFont val="Calibri"/>
        <family val="2"/>
        <scheme val="minor"/>
      </rPr>
      <t xml:space="preserve">A corte 20 de abril se reporta: </t>
    </r>
    <r>
      <rPr>
        <sz val="20"/>
        <color theme="1"/>
        <rFont val="Calibri"/>
        <family val="2"/>
        <scheme val="minor"/>
      </rPr>
      <t xml:space="preserve">
Se trabajó en las intervenciones con las entidades carcelarias y unidades de servicio del sistema de responsabilidad penal.   
A la fecha de corte se realizaron cinco actividades recreo deportivas (cárcel distrital de mujeres, cárcel de ternera, fundación TALID y fundación construyendo ciudad) para un total de personas atendidas 381
Dentro de estas intervenciones se realizó una actividad de pre-juegos carcelarios de futbol de salón en las categorías de libre y veteranos, con el fin de fomentar la práctica del deporte e incentivar la participación en competencias deportivas previo a los juegos carcelarios. Participaron 320 personas  Se continuará trabajando las acciones que conlleven a la ejecución de la meta.                                                                                                                                                                                                                                                             </t>
    </r>
    <r>
      <rPr>
        <b/>
        <u/>
        <sz val="20"/>
        <color theme="1"/>
        <rFont val="Calibri"/>
        <family val="2"/>
        <scheme val="minor"/>
      </rPr>
      <t>A corte 20 de mayo se reporta:</t>
    </r>
    <r>
      <rPr>
        <sz val="20"/>
        <color theme="1"/>
        <rFont val="Calibri"/>
        <family val="2"/>
        <scheme val="minor"/>
      </rPr>
      <t xml:space="preserve">
Se realizaron actividades pre- deportivas con entidades que trabajan con personas con discapacidad como proceso de motivación y preparación a los Juegos Deportivos de la Discapacidad 2023: Institución Educativa “Antonia Santos” 
Fundación Aluna , Corporación Mente Activa . De forma regular se hace un proceso de entrenamiento deportivo a niños, niñas, adolescentes, jóvenes y personas adultas en los deportes de natación y atletismo para la participación a los Juegos Distritales Deportivos de la Discapacidad 2023.
Mesa de trabajo con el equipo de discapacidad para organizar la campaña de “Únete a los Juegos” y así motivar a nuevas personas con discapacidad que en esta versión participen en estas justas deportivas.
</t>
    </r>
    <r>
      <rPr>
        <b/>
        <u/>
        <sz val="20"/>
        <color theme="1"/>
        <rFont val="Calibri"/>
        <family val="2"/>
        <scheme val="minor"/>
      </rPr>
      <t>A corte 20 de abril se reporta</t>
    </r>
    <r>
      <rPr>
        <sz val="20"/>
        <color theme="1"/>
        <rFont val="Calibri"/>
        <family val="2"/>
        <scheme val="minor"/>
      </rPr>
      <t xml:space="preserve">:
Realización de mesas de trabajo con el equipo de discapacidad para la planificación y organización de las actividades a desarrollar para el cumplimento de las acciones y metas referente a los juegos de la discapacidad.  Se realizaron cuatro (4) actividades pre-deportivas con entidades trabajan en favor de las personas con discapacidad:   Corporación Mente Activa
Fundación Aluna  Institución Educativa Soledad Román de Núñez , Comfenalco .
El objetivo de la actividad es motivarlos y hacer un proceso de preparación a los Juegos Distritales de la Discapacidad 2023
Dentro de la estrategia se realiza una atención de motivación y preparación a las personas en condición de discapacidad en la disciplina de natación de forma regular.
	</t>
    </r>
  </si>
  <si>
    <r>
      <rPr>
        <b/>
        <u/>
        <sz val="20"/>
        <color theme="1"/>
        <rFont val="Calibri"/>
        <family val="2"/>
        <scheme val="minor"/>
      </rPr>
      <t>A corte 20 de junio se reporta:</t>
    </r>
    <r>
      <rPr>
        <sz val="20"/>
        <color theme="1"/>
        <rFont val="Calibri"/>
        <family val="2"/>
        <scheme val="minor"/>
      </rPr>
      <t xml:space="preserve">
La estrategia de Juegos Carcelarios realiza cuatro (4) actividades bases: 
1.	Actividades Recreo deportivas dinamizada con actividades rompe hielo, actividades de liderazgo y trabajo en equipo con los NNAJ vinculados o en riesgo de vincularse al SRPA.
2.	Actividades Recreo deportivas en las unidades de servicio que operan el SRPA. •	FUNDACION TALID
•	FUNDACION CONSTRUYENDO CIUDAD
3.	Actividades Recreo deportivas para mujeres privadas de la libertad en la cárcel distrital de mujeres.
4.	Actividades Recreo deportivas para personas de la libertad en el establecimiento penitenciario y carcelario. (cárcel de ternera). Estas actividades beneficiaron a 222 jóvenes.         A corte 20 de junio se reporta:
Se realizaron actividades pre- deportivas con entidades que trabajan con personas con discapacidad como proceso de motivación y preparación a los Juegos Deportivos de la Discapacidad 2023 en el marco de la campaña “Únete a los Juegos”
Participaron: 
	Institución Educativa “Antonia Santos”
	Fundación Aluna
	Corporación Mente Activa
	Fundación El Rosario
	Fundación REI
	Centro Educativo Integral Moderno CEN
Mesa de trabajo con el equipo de discapacidad presencial y virtual para organizar las actividades de cada semana referente a la campaña “Únete a los Juegos” las cuales se desarrollan en las diferentes entidades que trabajan con personas con discapacidad.
De forma regular se hace un proceso de entrenamiento deportivo a niños, niñas adolescentes, jóvenes y personas adultas en los deportes de natación y atletismo para la participación a los Juegos Distritales Deportivos de la Discapacidad 2023.
Socialización de los Juegos de la Discapacidad en la Institución Educativa Antonia Santos, Fundación REI y El Rosario con padres de familia, cuidadores y docentes de cada institución.                                                                                                                                                                                                                 
</t>
    </r>
  </si>
  <si>
    <t>En este período  se trabajo en la contratación del operador logístico  para el desarrollo de las estrategias de este programa  asi como  se adelantará el proceso contractual para los unifromes e implementación  deportiva .</t>
  </si>
  <si>
    <r>
      <rPr>
        <b/>
        <u/>
        <sz val="20"/>
        <color theme="1"/>
        <rFont val="Calibri"/>
        <family val="2"/>
        <scheme val="minor"/>
      </rPr>
      <t>A corte de 20 de agosto se reporta</t>
    </r>
    <r>
      <rPr>
        <sz val="20"/>
        <color theme="1"/>
        <rFont val="Calibri"/>
        <family val="2"/>
        <scheme val="minor"/>
      </rPr>
      <t xml:space="preserve">
Se realizaron actividades predeportivas de forma regular con entidades que trabajan con personas con discapacidad con el objetivo de motivarlos y prepararlos a participar en los próximos Juegos Deportivos de la Discapacidad 2023: 
	Fundación Aluna
	Fundación REI
	Comfenalco
	Fundación Acción y Vida 
	Institución Educativa Juan Salvador Gaviota
	Institución Educativa Antonia Santos
	Comunidad Barrio Huellas de Alberto Uribe 
	Corporación Mente Activa
De forma regular se hace un proceso de entrenamiento deportivo a niños, niñas adolescentes, jóvenes y personas adultas en los deportes de natación y atletismo para la participación a los Juegos Distritales Deportivos de la Discapacidad 2023.
Se desarrollaron dos festivales deportivos en las disciplinas de baloncesto y boccia con el objetivo de motivarlos a participar en los Juegos Distritales Deportivos de la Discapacidad 2023 y seguir masificando el deporte adaptado en la ciudad de Cartagena de Indias.
Socialización al Comité Local de Discapacidad de la Localidad de la Virgen y Turística toda nuestra oferta institucional para las personas con discapacidad donde los Juegos Distritales de la Discapacidad 2023 son un papel muy importante como espacio de participación de esta población.
</t>
    </r>
  </si>
  <si>
    <r>
      <rPr>
        <b/>
        <u/>
        <sz val="16"/>
        <color theme="1"/>
        <rFont val="Calibri"/>
        <family val="2"/>
        <scheme val="minor"/>
      </rPr>
      <t xml:space="preserve">A corte 20 de septiembre se reporta: </t>
    </r>
    <r>
      <rPr>
        <sz val="16"/>
        <color theme="1"/>
        <rFont val="Calibri"/>
        <family val="2"/>
        <scheme val="minor"/>
      </rPr>
      <t xml:space="preserve">
Para este periodo se asistió a reunión convocada por la secretaria del interior en su dependencia de la oficina de asuntos Étnicos, para identificar los compromisos de cada entidad en el marco del cumplimiento del plan acción en eje transversal del cuatrienio. Fecha 7 de septiembre del 2023. 
Se organizo y realizo una actividad recreodeportiva dirigida a los niños del cabildo Kaizem (Membrillal). Se beneficiaron 30 niños y jóvenes (2 a 16 años). Fecha 16 de septiembre del 2023. 
Se asistió a reunión programada por la oficina de asuntos étnicos de la secretaria del interior, para identificar los compromisos adquiridos por cada dependencia una vez se halla comprado el predio para el traslado del cabildo Kaizem (Membrillal). Fecha 20 de septiembre 2023.                 </t>
    </r>
    <r>
      <rPr>
        <b/>
        <u/>
        <sz val="16"/>
        <color theme="1"/>
        <rFont val="Calibri"/>
        <family val="2"/>
        <scheme val="minor"/>
      </rPr>
      <t>A corte 20 de septiembre se reporta</t>
    </r>
    <r>
      <rPr>
        <sz val="16"/>
        <color theme="1"/>
        <rFont val="Calibri"/>
        <family val="2"/>
        <scheme val="minor"/>
      </rPr>
      <t xml:space="preserve">
La estrategia continúa con las actividades y asistencia a los centros penitenciarios y fundaciones del SRPA en sus cuatro actividades bases
Iniciaron el proceso de inscripciones a los juegos Carcelarios en el sistema de responsabilidad penal y en centro penitenciario de ternera, se están haciendo acompañamientos y apoyos a los procesos. Fecha 24 de agosto del 2023. A corte de 20 de septiembre se reporta
Para este periodo la estrategia realizo un festival de Golito con 35 NNA con discapacidad Intelectual del Centro Educativo Integral Moderno CEN. Fecha 24 y 31 de agosto del 2023. 
Se apoyaron los festivales de la cometa que realizaron la fundación el Rosario y la corporación Mente Activa; a demás se desarrollaron actividades pre-deportivas donde participaron los estudiantes y padres de familia. Se tuvo una participación de 300 personas entre niños y adultos, para esta actividad no se cuenta con caracterización por ser una actividad abierta y estuvimos de apoyo. Fecha 24 y 25 de agosto del 2023.
Actividad predeportiva con la fundación Aluna donde participaron 101 personas con discapacidad intelectual, con el objetivo de preparación a los próximos juegos de la discapacidad 2023. Fecha 29 de agosto, 5 y 12 de septiembre del 2023.
Actividad predeportiva fundación REI donde participaron 43 personas con discapacidad intelectual, con el objetivo de preparación a los próximos juegos de la discapacidad 2023. Fecha 30 de agosto y 7 de septiembre del 2023.
Actividad predeportiva Institución Juan Salvador Gaviota donde participaron 17 personas con discapacidad auditiva, con el objetivo de preparación a los próximos juegos de la discapacidad 2023. Fecha 6 de septiembre del 2023.
Conmemoración de la semana internacional de las personas sordas con actividades predeportivas de la institución educativa soledad Román de Núñez, participaron 14 personas sordas. Fecha 18 de septiembre del 2023. 
Mesa de trabajo con el equipo de discapacidad para seguir en la organización y ejecución de los juegos distritales de la discapacidad. Fecha 7 - 14 de septiembre del 2023 
De forma regular se hace un proceso de entrenamiento deportivo a niños, niñas, adolescentes, jóvenes y personas adultas en los deportes de natación y atletismo para la participación a los Juegos Distritales Deportivos de la Discapacidad 2023.
</t>
    </r>
  </si>
  <si>
    <r>
      <rPr>
        <b/>
        <u/>
        <sz val="16"/>
        <color theme="1"/>
        <rFont val="Calibri"/>
        <family val="2"/>
        <scheme val="minor"/>
      </rPr>
      <t>A corte de 20 de octubre se reporta</t>
    </r>
    <r>
      <rPr>
        <sz val="16"/>
        <color theme="1"/>
        <rFont val="Calibri"/>
        <family val="2"/>
        <scheme val="minor"/>
      </rPr>
      <t xml:space="preserve">
Se realizaron actividades predeportivas de forma regular con entidades que trabajan con personas con discapacidad con el objetivo de motivarlos, prepararlos a participar en los próximos Juegos Deportivos de la Discapacidad 2023
Fundación Aluna
Fundación REI
Fundación Acción y Vida 
Corporación Mente Activa
De forma regular se hace un proceso de entrenamiento deportivo a niños, niñas adolescentes, jóvenes y personas adultas en los deportes de natación y atletismo para la participación a los Juegos Distritales Deportivos de la Discapacidad 2023.
Se conmemoro la Semana Internacional de las personas sordas en las Instituciones Educativas Antonia Santos y Juan Salvador Gaviota con el desarrollo de actividades predeportivas.                                                                                                                                                                                                                                                                                                                                                                                                                                                                                                                                                                                                                                                                                                                                                                                                          </t>
    </r>
    <r>
      <rPr>
        <b/>
        <u/>
        <sz val="16"/>
        <color theme="1"/>
        <rFont val="Calibri"/>
        <family val="2"/>
        <scheme val="minor"/>
      </rPr>
      <t xml:space="preserve">  A corte 20 de octubre se reporta</t>
    </r>
    <r>
      <rPr>
        <sz val="16"/>
        <color theme="1"/>
        <rFont val="Calibri"/>
        <family val="2"/>
        <scheme val="minor"/>
      </rPr>
      <t xml:space="preserve">
La estrategia continúa con las actividades y asistencia a los centros penitenciarios y fundaciones del SRPA en sus cuatro actividades bases  .</t>
    </r>
  </si>
  <si>
    <t>3.1.2 Disponer de la logística para cada uno de los torneos.</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</si>
  <si>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</si>
  <si>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</si>
  <si>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</si>
  <si>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</si>
  <si>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1.1 Documentos normativos</t>
  </si>
  <si>
    <t>Promoción y Fomento de la Actividad Físca , Recreación y  el Uso del Tiempo Libre</t>
  </si>
  <si>
    <t>Brindar a la comunidad la forma de aprender y desarrollar acciones y estrategias que se incorporen 
al quehacer diario para que su cuerpo y mente estén en forma durante todo el proceso de vida. Para 
apoyar este programa realizaremos actividades como: Madrúgale a la Salud, Noches saludables, 
Joven Saludable, Empresa Saludable, Centros Penitenciarios y Carcelarios, Caminante Saludable, 
Centro de Acondicionamiento Físico – CAF, Actívate Gestante, Persona Mayor.</t>
  </si>
  <si>
    <t xml:space="preserve">Mejoramiento de los estilos de vida mediante la promoción masiva de una vida activa de la ciudadanía en el Distirto de Cartagena </t>
  </si>
  <si>
    <t>Disminuir el riesgo de enfermedades crónicas no transmisibles en la comunidad cartagenera</t>
  </si>
  <si>
    <t>Implementar la estrategia de "Entornos saludables"</t>
  </si>
  <si>
    <t>MEJORAMIENTO DE LOS ESTILOS DE VIDA MEDIANTE LA PROMOCIÓN MASIVA DE UNA VIDA ACTIVA DE LA CIUDADANÍA EN EL DISTRITO DE  CARTAGENA DE INDIAS</t>
  </si>
  <si>
    <t>2.3.4301.1604.2020130010055</t>
  </si>
  <si>
    <t xml:space="preserve">Contratatación de prestación de servicios profesionale y/o de apoyo a la gestión del equipo de trabajo que ejecutará las actividades del proyecto
Suministro de servicio de Transporte terrestre a través de tienda virtual </t>
  </si>
  <si>
    <t xml:space="preserve">Contratación directa
Selección Abreviada a través de Bolsa Mercantil </t>
  </si>
  <si>
    <t>En este mes de enero, se inicio la contratación del personal que  llevan a cabo las diferentes estrategias del porgramas ,  se desarrollaron diferentes estrategias del programa como: Madrúgale a la Salud, Noches Saludables y Activate Running , las cuales beneficiaron a  854 personas   y se activaron  aproximadamente 30 puntos . Se realizó  un evento de concetración-Mejdoramiento Estilos de Vida Saludable en el Centro Comercial Mall Plaza que beneficio a 115 personas, asi como también se llevo a cabo un evento de ciudad Activate Running-Caminante Saludable/subida al Convento de la Popa en el cual beneficiaron a 412 personas  igualmente se avanzo con la estrategia de Entornos Saludables en la cual participaron 29 personas.</t>
  </si>
  <si>
    <r>
      <rPr>
        <b/>
        <u/>
        <sz val="11"/>
        <color theme="1"/>
        <rFont val="Calibri"/>
        <family val="2"/>
        <scheme val="minor"/>
      </rPr>
      <t xml:space="preserve">TRANSFORMACIÓN DE HÁBITOS </t>
    </r>
    <r>
      <rPr>
        <sz val="11"/>
        <color theme="1"/>
        <rFont val="Calibri"/>
        <family val="2"/>
        <scheme val="minor"/>
      </rPr>
      <t xml:space="preserve">:1. La estrategia Actívate Gestante por medio de correos electrónicos y otros medios de  comunicación, ha realizado los respectivos acercamientos y hemos encontrado que los centros de atención, hogares y algunas entidades aún permanecen sin operador, contratación o inicio de actividades, lo cual no ha permitido programar actividades con madres gestantes y lactantes a fecha de corte del 15-02-2023. Sin embargo, para el día 21-02-2023 realizaremos nuestra primera actividad con una clase de actividad física musicalizada para madres gestantes y lactantes en el Barrio el Pozón con  la Fundación FUNDEMOR. Estamos en espera de respuesta de la Fundación Juan Felipe Gómez Escobar y de los grupos localizados con los que hemos trabajado en periodos  anteriores con el fin de articular y empezar a planificar y desarrollar actividades. 2. En este mes iniciamos todos los enlaces , envíos de portafolios de servicios, reuniones, para ofertar nuestra estrategia de empresa saludable con diferentes organizaciones públicas y  privadas, de igual forma se empezó actividades con grupos organizados de personas mayores que ya se están reuniendo, se tuvo reunión con la líder de aprovechamiento del tiempo libre de la secretaria de participación , la cual nos informó que los centros de vidas del adulto mayor esperan iniciar actividades para inicios del mes de marzo y arrancaremos actividades con ellos. Iniciamos la oferta de Escuela saludable y ya se tienen programadas actividades con Instituciones Educativas, tuvimos reunión con una representante de la secretaria de Educación y se le oferto la estrategia y así hacer alianzas con ellos, estamos en la espera de un listado actualizado de todas las instituciones educativas activas, con sus respetivos enlaces para iniciar proceso con ellos 3. Dentro del plan de acción para centros penitenciarios y carcelarios, sé dio inicio a las actividades dentro de los tres establecimientos penitenciarios del Distrito de Cartagena, Cárcel Distrital de Mujeres, Centro Penitenciario y Carcelario San Sebastián de Ternera y Fundación Talid. 4.En este corte del mes se realizó una actividad para Actívate Gestante donde se hizo la presentación de la estrategia y se socializó con las mamas las temáticas a tratar en los próximos encuentros. 2. Se siguen realizando acercamientos telefónicos para sumar a nuestros beneficiarios.3 Se dio inicio a la estrategia Escuela Saludable, con buena acogida en las Instituciones educativas, seguimos ofertando Empresa Saludable y Actívate Mayor, para seguir generando más actividades.4. Desde la estrategia Centros Penitenciarios y Carcelarios seguimos avanzando con los planes de acción que se van desarrollando en cada plantel, en la cual se hacen reuniones para determinar acciones de manera sinérgica desde la institución, área de recreación y área de deporte. También se adelanta un plan comunicacional para mostrar el trabajo realizado con los PPL (personas privadas de la libertad) y su impacto de las actividades recreativas, lúdicas y físicas en la cual dan su experiencia el profesor de actividad física, Director de la Cárcel de mujeres y una PPL. </t>
    </r>
    <r>
      <rPr>
        <b/>
        <u/>
        <sz val="11"/>
        <color theme="1"/>
        <rFont val="Calibri"/>
        <family val="2"/>
        <scheme val="minor"/>
      </rPr>
      <t>MEJORAMIENTO DE LOS ESTILOS DE VIDA:</t>
    </r>
    <r>
      <rPr>
        <sz val="11"/>
        <color theme="1"/>
        <rFont val="Calibri"/>
        <family val="2"/>
        <scheme val="minor"/>
      </rPr>
      <t>1. A la fecha se dio inicio con gran satisfacción la apertura de los puntos de actividad física comunitaria en el Distrito de Cartagena.2. Iniciamos las reuniones semanales con el equipo de recreación para dar a conocer plan de acción 2023 y presentar plan de capacitación. 3. La oficina de planeación está realizando la revisión y codificación de los diferentes formatos para esta vigencia.4. Se le presento a la dirección general las acciones con las que se le darán alcance a los indicadores 2023. 4. Se realizo salida Running el día 19 de febrero en el Barrio Manga, nos concentramos el Parque Lacides Segovia, salimos hacia el Paseo Peatonal, puente Román, calle Larga, tomando la calle del Arsenal, Centro de Convenciones y finalizamos en el parque Lacides Segovia, con presencia de 103 personas, distribuido entre usuarios de nuestras estrategias y participantes de otros clubes de la ciudad. 5. La Estrategia Joven Saludable para el 2023 amplia su cobertura desde dos aspectos importantes. Por una parte, se amplía la edad hasta los 20 años,; y por otro lado iniciamoscon 3 nuevos núcleos para una proyección de 595 usuarios entre niños, niñas adolescentes y jóvenes.6Se Hace encuentro de profesores con el equipo interdisciplinario para trazar la ruta del plan de acción al cual se le agregan las campañas y conmemoraciones como trabajo transversal con toda el Área de Recreación.7. Se continúan haciendo los acercamientos a diferentes comunidades para instalar la Estrategia de Actívate en el Parque, y poder completar las 9 comunidades que tenemos proyectadas.8.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 Desde el cuerpo de monitores del Programa de Hábitos y Estilos de Vida Saludable se realizan acompañamientos para ayudar a buscar solución a las dificultades que se encuentran en el entorno de los puntos activos.</t>
    </r>
    <r>
      <rPr>
        <b/>
        <u/>
        <sz val="11"/>
        <color theme="1"/>
        <rFont val="Calibri"/>
        <family val="2"/>
        <scheme val="minor"/>
      </rPr>
      <t>MODERNIZACIÓN DEL CAF:</t>
    </r>
    <r>
      <rPr>
        <sz val="11"/>
        <color theme="1"/>
        <rFont val="Calibri"/>
        <family val="2"/>
        <scheme val="minor"/>
      </rPr>
      <t>1. En la vigencia 2023 iniciamos con un aumento de puntos de actívate en el parque, impactando a 8 comunidades con esta estrategia. 2. Se están realizando acercamientos a otras comunidades para instalar la estrategia de Actívate en el Parque, y poder completar las 9 comunidades que tenemos proyectadas. 3. Dentro del plan de adquisición de bienes y servicio se deja estipulado fechas concretas que den cumplimiento al proceso del 2023 para iniciar proceso de modernización del CAF -IDER, proceso que inicia con las especificaciones técnicas requeridas por la oficina de jurídica, posterior entregar las cotizaciones para el estudio de mercado y cumplir con la fecha establecida para subir el proceso (MAYO).</t>
    </r>
  </si>
  <si>
    <t xml:space="preserve">1.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2.-	Se desarrollan las intervenciones en la comunidad con normalidad en cada uno de los parques; desde el plan de capacitaciones se abordan temáticas de modalidades de clases grupales para que los profesores obtengan mejores herramientas de actividad física comunitaria. Se hace seguimiento a los nuevos parques (Los Corales y Portal de la Cordialidad) donde se ejecuta la estrategia, socializando esta misma con las Juntas de Acciones Comunales. Los usuarios se sienten a gusto con los profesores y motivan a más usuarios a participar, por esa misma línea entonces se organizan eventos de promoción. Por otra parte, se inician con los tamizajes inscripciones y se diligenciaron los test y pruebas físicas con practicantes de la Universidad San Buenaventura de la carrera de Fisioterapia., 3.-El Programa de Hábitos y Estilos de Vida Saludable, reporta en el primer trimestre del año un total de 8.830 usuarios impactados, desde el Proyecto de mejoramiento de los estilos de vida mediante la promoción masiva de una vida activa un total de 5.519 usuarios en sus acciones Madrúgale a la Salud (2.296 usuarios), Noches Saludables (2.335 usuarios), Caminante Saludable (442), Joven Saludable (446). En Entornos Saludables se impactaron en 63 acciones en el trimestre 3.311 usuarios.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4.-Se adelantaron dos pruebas piloto desde la estrategia Madrúgale a la Salud en el barrio San Francisco sector “Letras de Cartagena”, ambas sesiones presentaron baja asistencia de usuarios, el protocolo establece realizar perifoneo en el sector con el objetivo de informar y convocar a los vecinos del sector para que hagan parte de la estrategia, se programó una tercera intervención para el día miércoles 05 de abril en el horario de 6:00AM a 7:00AM. Revisando el números de asistentes que nos arroje la última prueba piloto  entraremos a evaluar si cumplen con los protocolos establecidos para darle inicio como punto no regular (una vez a la semana).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afrodescendientes,5. En el mes de marzo realizamos dos (02) pruebas piloto a la comunidad del barrio San Francisco (madres de jóvenes en riesgo) en articulación con la secretaria del Interior y Convivencia Ciudadana, con una baja asistencia en la primera sesión, la segunda no se logro desarrollar por enfrenamientos entre pandillas, colocando en riesgo la integridad del profesor de actividad física.  6. Identificamos en mesa de trabajo la necesidad de actualizar los formatos de asistencia de las actividades del Proyecto, donde podamos plasmar el enfoque poblacional de las comunidades que se impactan. Dentro del enfoque poblacional del período se identificaron usuarios de acuerdo a las acciones realizadas, como personas con discapacidad, comunidades rurales y campesinas, víctimas del conflicto, personas privadas de la libertad y afrodescendientes, 7.Se establecen rutas de seguimiento con las trabajadoras sociales para afianzar el trabajo con los núcleos familiares, en las visitas hacen dos diagnósticos: por una parte, se miran los procesos pedagógicos por parte del profesorado y por otra parte se indaga sobre los participantes desertores. Los profesores ejecutan plan de acción según programación y hacen preparación para la participación del día del niño y la recreación (Actívate Jugando en el mes de la niñez). Cada núcleo se encuentra gestionando, desarrollando su evento de promoción para llegar a más usuarios en las instituciones educativas y organizaciones sociales, 8.El semillero de actividad física comunitaria está proyectado para realizarse en el mes de mayo del presente año, 9.-	Dentro de las estrategias de divulgación y promoción de las acciones realizadas desde el Programa de Hábitos y Estilos de Vida Saludable, y su Proyecto de Mejoramiento de los Estilos de Vida Mediante la Promoción Masiva de una Vida Activa se realizaron 62 publicaciones a través de las plataformas digitales Facebook, Instagram, y Twitter, 10. Se realizo Evento de Ciudad Salida Running y Caminante Saludable el día 28.01.2023 con motivo de las Fiestas de la Candelaria, se realizó ascenso al Convento de la Popa, donde contamos con un total de usuarios de 416, distribuidos en 61 hombres y 355 mujeres participando en la actividad.
 </t>
  </si>
  <si>
    <r>
      <rPr>
        <b/>
        <sz val="20"/>
        <color theme="1"/>
        <rFont val="Calibri"/>
        <family val="2"/>
        <scheme val="minor"/>
      </rPr>
      <t>1.</t>
    </r>
    <r>
      <rPr>
        <sz val="20"/>
        <color theme="1"/>
        <rFont val="Calibri"/>
        <family val="2"/>
        <scheme val="minor"/>
      </rPr>
      <t xml:space="preserve"> Desde la estrategia Entornos Saludables en el periodo pasado se habían beneficiado (3.311) personas, en este periodo se generaron 39 actividades impactando un total (1.831) personas, distribuidas de la siguiente forma: (389) Personas asesoradas magistralmente en organizaciones públicas y privadas. (294) Tamizaje Cardiovasculares en las organizaciones públicas y privadas. (656) Jornadas recreo deportivas y de actividad física en organizaciones públicas y privadas. (492) Campañas de concientización de salud.A continuación se reportan la caracterización de los beneficiados de la estrategia así: Total de participantes en las actividades 1.831 (1.170) Mujeres y (661) Hombres. (172)    víctimas de conflictos que vienen siendo atendidas en CRAV – Centro regional de Atención a Víctimas, 3 veces a la semana. (99)  personas privadas de la libertad, cárcel de hombres y fundación TALID 3 veces a la semana. (26)   personas en condición de discapacidad. Acumulado total actual: (5.142).</t>
    </r>
    <r>
      <rPr>
        <b/>
        <sz val="20"/>
        <color theme="1"/>
        <rFont val="Calibri"/>
        <family val="2"/>
        <scheme val="minor"/>
      </rPr>
      <t xml:space="preserve"> 2.</t>
    </r>
    <r>
      <rPr>
        <sz val="20"/>
        <color theme="1"/>
        <rFont val="Calibri"/>
        <family val="2"/>
        <scheme val="minor"/>
      </rPr>
      <t xml:space="preserve"> Desde el Programa de Hábitos y estilos de Vida Saludable, se pasó de (5.519) usuarios impactados a (6.248), representando un incremento de (729) usuarios nuevos inscritos. Distribuidos de la siguiente manera:(264)   Madrúgale a la Salud,(183)   Noches Saludables ,(2) Caminante Saludable y Actívate Running  (56)     Joven Saludable   (224)   Actívate en el Parque.</t>
    </r>
    <r>
      <rPr>
        <b/>
        <sz val="20"/>
        <color theme="1"/>
        <rFont val="Calibri"/>
        <family val="2"/>
        <scheme val="minor"/>
      </rPr>
      <t xml:space="preserve">  3.</t>
    </r>
    <r>
      <rPr>
        <sz val="20"/>
        <color theme="1"/>
        <rFont val="Calibri"/>
        <family val="2"/>
        <scheme val="minor"/>
      </rPr>
      <t>Madrúgale a la Salud venía con (2296) usuarios, en este periodo se aumenta el número de participantes de nuestra estrategia, (264) usuarios nuevos, dando un acumulado de (2.560) usuarios activos. Se mantienen los 64 puntos, participaron de manera activa en la celebración del día mundial de la actividad física, la cual se adelantó durante todo el mes de abril, implementando el reto de las plancha.Total de participantes en la estrategia (2.560)  : (2.355) Mujeres y (205) Hombres.</t>
    </r>
    <r>
      <rPr>
        <b/>
        <sz val="20"/>
        <color theme="1"/>
        <rFont val="Calibri"/>
        <family val="2"/>
        <scheme val="minor"/>
      </rPr>
      <t xml:space="preserve">4. </t>
    </r>
    <r>
      <rPr>
        <sz val="20"/>
        <color theme="1"/>
        <rFont val="Calibri"/>
        <family val="2"/>
        <scheme val="minor"/>
      </rPr>
      <t xml:space="preserve">Caminante Saludable y Actívate Running se encontraba con (442) usuarios, en este periodo registraron (2) nuevos inscritos, para un total de (444) usuarios activos. Se mantuvieron las 4 rutas de caminante y las 6 de rutas de Running en las 3 localidades. Desde Actívate Running se realizó salida 5 y 10k sobre la avenida Santander el día 26 de marzo,  el día 16 de abril se realizó la salida caminante saludable 5K, dando cumplimiento a lo establecido en el plan semanal y cronograma mensual en donde cada ruta es estudiada previamente por el equipo administrativo del área de recreación en mesas de trabajo con los profesores, con el fin de garantizar la seguridad a todos los participantes en las sesiones y eventos de ciudad. Total de participantes en la estrategia 444  (373) Mujeres y (71) Hombres. (14) Afros. (1)  Palanquero. </t>
    </r>
    <r>
      <rPr>
        <b/>
        <sz val="20"/>
        <color theme="1"/>
        <rFont val="Calibri"/>
        <family val="2"/>
        <scheme val="minor"/>
      </rPr>
      <t xml:space="preserve">5. </t>
    </r>
    <r>
      <rPr>
        <sz val="20"/>
        <color theme="1"/>
        <rFont val="Calibri"/>
        <family val="2"/>
        <scheme val="minor"/>
      </rPr>
      <t>Noches Saludables registraba (2.335) usuarios, en este periodo se aumenta el número de participantes de nuestra estrategia, (183) usuarios nuevos, dando un acumulado de (2.518). Se mantienen los 68 puntos, participaron de manera activa en la celebración del día mundial de la actividad física, la cual se adelantó durante todo el mes de abril, implementando el reto de la plancha.Total de personas inscritas en la estrategia 2.518(2.426) Mujeres y (92) Hombres.</t>
    </r>
    <r>
      <rPr>
        <b/>
        <sz val="20"/>
        <color theme="1"/>
        <rFont val="Calibri"/>
        <family val="2"/>
        <scheme val="minor"/>
      </rPr>
      <t>6.</t>
    </r>
    <r>
      <rPr>
        <sz val="20"/>
        <color theme="1"/>
        <rFont val="Calibri"/>
        <family val="2"/>
        <scheme val="minor"/>
      </rPr>
      <t xml:space="preserve"> Joven Saludable registraba (446) usuarios, en este periodo se aumenta el número de participantes de nuestra estrategia, (56) usuarios nuevos, dando un acumulado de (502). Se mantienen los 17 puntos, Total de participantes en la estrategia 502 (342) Mujeres y (160) Hombres</t>
    </r>
    <r>
      <rPr>
        <b/>
        <sz val="20"/>
        <color theme="1"/>
        <rFont val="Calibri"/>
        <family val="2"/>
        <scheme val="minor"/>
      </rPr>
      <t>. 7.</t>
    </r>
    <r>
      <rPr>
        <sz val="20"/>
        <color theme="1"/>
        <rFont val="Calibri"/>
        <family val="2"/>
        <scheme val="minor"/>
      </rPr>
      <t xml:space="preserve"> El número de participantes en eventos de actividad física pasó de (416) en el primer informe, a  la fecha es de (3.025) . A continuación se reportan la caracterización de los participantes en las actividades de este periodo (2.609) así: (466)     Personas asistentes a (8) eventos de concentración.   Mujeres  (448)       Hombres (18,(1.443)  Personas asistentes a (31) eventos de promoción.       Mujeres  (1.211)    Hombres (232),(700)     Personas asistentes a (1) evento de ciudad Celebración día Mundial de la Actividad Física. 8. 
</t>
    </r>
    <r>
      <rPr>
        <b/>
        <sz val="20"/>
        <color theme="1"/>
        <rFont val="Calibri"/>
        <family val="2"/>
        <scheme val="minor"/>
      </rPr>
      <t xml:space="preserve">
</t>
    </r>
    <r>
      <rPr>
        <sz val="20"/>
        <color theme="1"/>
        <rFont val="Calibri"/>
        <family val="2"/>
        <scheme val="minor"/>
      </rPr>
      <t xml:space="preserve">
</t>
    </r>
    <r>
      <rPr>
        <b/>
        <sz val="20"/>
        <color theme="1"/>
        <rFont val="Calibri"/>
        <family val="2"/>
        <scheme val="minor"/>
      </rPr>
      <t xml:space="preserve">
</t>
    </r>
    <r>
      <rPr>
        <sz val="20"/>
        <color theme="1"/>
        <rFont val="Calibri"/>
        <family val="2"/>
        <scheme val="minor"/>
      </rPr>
      <t xml:space="preserve">
</t>
    </r>
  </si>
  <si>
    <r>
      <rPr>
        <b/>
        <u/>
        <sz val="20"/>
        <color theme="1"/>
        <rFont val="Calibri"/>
        <family val="2"/>
      </rPr>
      <t>ENTORNOS SALUDABLES:</t>
    </r>
    <r>
      <rPr>
        <sz val="20"/>
        <color theme="1"/>
        <rFont val="Calibri"/>
        <family val="2"/>
      </rPr>
      <t xml:space="preserve">Desde la estrategia Entornos Saludables en el acumulativo de los periodos pasados se han beneficiado (5.142) personas, en este periodo se generaron 43 actividades impactando un total (2.164) personas, distribuidas de la siguiente forma: (413) Personas asesoradas magistralmente en organizaciones públicas y privadas.
(178) Tamizaje Cardiovasculares en las organizaciones públicas y privadas. (842) Jornadas recreo deportivas y de actividad física en organizaciones públicas y privadas. (731) Campañas de concientización de salud. A continuación, se reportan la caracterización de los beneficiados de la estrategia así:  Total de participantes en las actividades 2,164 (1457) Mujeres y (707) Hombres.(105) Víctimas de conflictos que vienen siendo atendidas en CRAV – Centro Regional de Atención a Víctimas,
3 veces a la semana. (160) Personas privadas de la libertad, cárcel de hombres y fundación TALID 3 veces a la semana.
(201) Personas en condición de discapacidad.  (109) Personas migrantes. Desde el Programa de Hábitos y Estilos de Vida Saludable, se pasó de (6.248) usuarios impactados a (6.742), representando un incremento de (494) usuarios nuevos nscritos. Distribuidos de la siguiente manera:  (124)   Madrúgale a la Salud  (220)   Noches Saludables     (12)     Caminante  Saludable y Actívate Running  (33)     Joven Saludable   (105)   Actívate en el Parque .Madrúgale a la Salud tenía registrados en el informe anterior (2.560) usuarios, en este periodo se aumenta el número de participantes de nuestra estrategia, (124) usuarios nuevos, dando un acumulado de (2.684) personas beneficiadas desde la estrategia. Se mantienen los 64 puntos activos. Total de participantes en la estrategia (2.684). Mujeres (2.487) y Hombres (197). Mujeres (93%) y Hombres (7%) .-	Se encuentra activo el punto de actividad física dirigida musicalizada No Regular de Noches Saludables San Francisco, en el cual se realiza una sesión semanal el día viernes en horario de 7:00PM a 8:00PM, en el parque “Unidos por San Francisco”, con el apoyo de la secretaria del Interior y Convivencia Ciudadana, y es dirigida para las madres de los jóvenes en riesgo del sector. -	Se inicio la nueva acción “Actívate Rodando”, como punto no regular de actividad física, es una estrategia que está desarrollada para los amantes del patinaje de la ciudad, donde aprenderás la diferente técnicas y posiciones del patinaje. Con sesiones (1) una vez por semana los días viernes en horario de 7:00PM a 8:00PM en la pista de patinaje del Parque Centenario en el centro de la ciudad. Noches Saludables registraba (2.518) usuarios, en este periodo se aumenta el número de participantes de nuestra estrategia, (220) usuarios nuevos, dando un acumulado de (2.738). Se mantienen los 68 puntos activos a este período.Total de personas inscritas en la estrategia 2.738. Mujeres (2.657) y Hombres (81).Mujeres (97%) y Hombres (3%).Joven Saludable registraba (502) usuarios, en este periodo se aumenta el número de participantes de nuestra estrategia, (33) usuarios nuevos, dando un acumulado de (535). Se mantienen los 17 núcleos.  Total de participantes en la estrategia 535. Mujeres (405) y Hombres (130). Mujeres (76%) y Hombres (24%).
</t>
    </r>
  </si>
  <si>
    <t xml:space="preserve">Desde la Estrategia Entornos Saludables en el acumulativo de los periodos pasados se han beneficiado (7.306) personas, en este periodo se generaron 46 actividades, adicionales tenemos las atenciones fijas en los centros penitenciarios y carcelarios con 30 atenciones en el mes entre las instituciones beneficiadas, impactando un total (1.499) personas, distribuidas de la siguiente forma: (159) Personas asesoradas  en organizaciones públicas y privadas. (446) Tamizaje Cardiovasculares en las organizaciones públicas y privadas. (676) Participantes de las Jornadas recreo deportivas y de actividad física en organizaciones públicas y privadas. (218) Participantes de las Campañas de concientización de salud. A continuación, se reportan la caracterización de los beneficiados de la estrategia así: Total de participantes en las actividades 1.499 
(945) Mujeres y (554) Hombres. (95) Víctimas de conflictos que vienen siendo atendidas en CRAV – Centro Regional de Atención a Víctimas,3 veces a la semana.
(160) Personas nuevas impactadas que están privadas de la libertad, cárcel de hombres y fundación TALID 3 veces a la semana.(54) Personas en condición de discapacidad.Acumulado total actual: (8.805). Desde el Programa de Hábitos y Estilos de Vida Saludable, se pasó de (6.742) usuarios impactados a (6.805), representando un incremento de (63) usuarios nuevos inscritos. Distribuidos de la siguiente manera: (13)   Madrúgale a la Salud  ,(16) Noches Saludables, (20) Caminante Saludable y Actívate Running , (8)  Joven Saludable , (6)   Actívate en el Parque . Madrúgale a la Salud tenía registrados en el informe anterior (2.684) usuarios, en este periodo se aumenta el número de participantes de nuestra estrategia, (13) usuarios nuevos, dando un acumulado de (2.697) personas beneficiadas desde la estrategia. Se tienen actualmente 62 puntos activos.  Total de participantes en la estrategia (2.697). Mujeres (2.502) y Hombres (195).
 Mujeres (93%) y Hombres (7%).Caminante Saludable y Actívate Running se encontraba con (456) usuarios, en este periodo registraron (20) nuevos inscritos, para un total de (476) usuarios activos. Se mantuvieron las 4 rutas de Caminante Saludable y las 5 de rutas de Actívate Running en las 3 localidades del Distrito de Cartagena de Indias.   Total de participantes en la estrategia 476. Mujeres (387) y Hombres (89) Mujeres (81%) y Hombres. (19%). Noches Saludables registraba (2.738) usuarios, en este periodo se aumenta el número de participantes de nuestra estrategia, (16) usuarios nuevos, dando un acumulado de (2.754). Se  mantienen los 68 puntos activos a este período. Total de personas inscritas en la estrategia 2.754. Mujeres (2.670) y Hombres (84). Mujeres (97%) y Hombres (3%).Joven Saludable registraba (535) usuarios, en este periodo se aumenta el número de participantes de nuestra estrategia, (8) usuarios nuevos, dando un acumulado de (543). Se mantienen los 17 núcleos.  Total de participantes en la estrategia 543. Mujeres (410) y Hombres (133).
Mujeres (76%) y Hombres (24%).
</t>
  </si>
  <si>
    <r>
      <t xml:space="preserve">Desde la Estrategia </t>
    </r>
    <r>
      <rPr>
        <b/>
        <sz val="18"/>
        <color theme="1"/>
        <rFont val="Calibri"/>
        <family val="2"/>
      </rPr>
      <t>Entornos Saludables</t>
    </r>
    <r>
      <rPr>
        <sz val="18"/>
        <color theme="1"/>
        <rFont val="Calibri"/>
        <family val="2"/>
      </rPr>
      <t xml:space="preserve"> en el acumulativo de los periodos pasados se han beneficiado (8.805) personas, en este periodo se generaron 51 actividades, adicionales tenemos las atenciones fijas en los centros penitenciarios y carcelarios con 19 atenciones en el mes entre las instituciones beneficiadas, impactando un total (2.522) personas, distribuidas de la siguiente forma:
(722) Personas asesoradas en organizaciones públicas y privadas, donde se dieron diferentes enfoques como lo son Escuelas de padres, asesorías nutricionales, asesoría y talleres de hábitos y estilos de vida saludables.
(411) Tamizaje Cardiovasculares en las organizaciones públicas y privadas.
(223) Tamizaje Cardiovasculares en centros penitenciarios y </t>
    </r>
    <r>
      <rPr>
        <sz val="16"/>
        <color theme="1"/>
        <rFont val="Calibri"/>
        <family val="2"/>
      </rPr>
      <t xml:space="preserve">carcelarios del Distrito, acompañado de 2 asesorías con equipo psicosocial del área.
(1166) Participantes de las Jornadas recreo deportivas y de actividad física en organizaciones públicas y privadas.
A continuación, se reportan la caracterización de los beneficiados de la estrategia así:
Total de participantes en las actividades 2.522 
(1.298) Mujeres y (1.224) Hombres.
(280) Víctimas de conflictos que vienen siendo atendidas en CRAV – Centro Regional de Atención a Víctimas,
3 veces a la semana.
(303) Personas nuevas impactadas que están privadas de la libertad, cárcel de hombres y fundación TALID 3 veces a la semana.
(46) Personas en condición de discapacidad.
Acumulado total actual: (11.327). Desde el Programa de Hábitos y Estilos de Vida Saludable, y su Proyecto Mejoramiento de los Estilos de Vida Mediante la Promoción Masiva de una Vida Activa, se pasó de (6.805) usuarios impactados a (6.996), representando un incremento de (191) usuarios nuevos inscritos. Distribuidos de la siguiente manera: 
(63) Madrúgale a la Salud  , (88) Noches Saludables  ,   (4)  Caminante Saludable y Actívate Running  (4)  Joven Saludable   
(32) Actívate en el Parque  .Madrúgale a la Salud tenía registrados en el informe anterior (2.697) usuarios, en este periodo se aumenta el número de participantes de nuestra estrategia, (63) usuarios nuevos, dando un acumulado de (2.760) personas beneficiadas desde la estrategia. Se tienen actualmente 62 puntos activos. Total de participantes en la estrategia (2.760). Mujeres (2.569) y Hombres (191).  Mujeres (93%) y Hombres (7%).Caminante Saludable y Actívate Running se encontraba con (476) usuarios, en este periodo registraron (4) nuevos inscritos, para un total de (480) usuarios activos. Se mantuvieron las 4 rutas de Caminante Saludable y las 5 de rutas de Actívate Running en las 3 localidades del Distrito de Cartagena de Indias.  Total de participantes en la estrategia 480.  Mujeres (390) y Hombres (90)Mujeres (81%) y Hombres (19%). Noches Saludables registraba (2.754) usuarios, en este periodo se aumenta el número de participantes de nuestra estrategia, (88) usuarios nuevos, dando un acumulado de (2.842). Se mantienen los 68 puntos activos a este período. 
Total de personas inscritas en la estrategia 2.842. Mujeres (2.756) Hombres (85) y LGBTI+ (1). Mujeres (97%) Hombres (2,9%) y LGBTI+ (0,03%). </t>
    </r>
    <r>
      <rPr>
        <sz val="18"/>
        <color theme="1"/>
        <rFont val="Calibri"/>
        <family val="2"/>
      </rPr>
      <t xml:space="preserve">Joven Saludable registraba (543) usuarios, en este periodo se aumenta el número de participantes de nuestra estrategia, (4) usuarios nuevos, dando un acumulado de (547). Se mantienen los 17 núcleos. 
Total de participantes en la estrategia 547. Mujeres (411) y Hombres (136).  Mujeres (75%) y Hombres (25%)..
</t>
    </r>
    <r>
      <rPr>
        <sz val="16"/>
        <color theme="1"/>
        <rFont val="Calibri"/>
        <family val="2"/>
      </rPr>
      <t xml:space="preserve">
</t>
    </r>
    <r>
      <rPr>
        <sz val="18"/>
        <color theme="1"/>
        <rFont val="Calibri"/>
        <family val="2"/>
      </rPr>
      <t xml:space="preserve">
</t>
    </r>
  </si>
  <si>
    <r>
      <rPr>
        <b/>
        <u/>
        <sz val="18"/>
        <color theme="1"/>
        <rFont val="Calibri"/>
        <family val="2"/>
      </rPr>
      <t xml:space="preserve">Desde la Estrategia Entornos Saludables </t>
    </r>
    <r>
      <rPr>
        <sz val="18"/>
        <color theme="1"/>
        <rFont val="Calibri"/>
        <family val="2"/>
      </rPr>
      <t xml:space="preserve">en el acumulativo de los periodos pasados se han beneficiado (11.327) personas, en este periodo se generaron 40 actividades, adicionales tenemos las atenciones fijas en los centros penitenciarios y carcelarios con 19 atenciones en el mes entre las instituciones beneficiadas, impactando un total (1.277) personas, distribuidas de la siguiente forma (234) Personas asesoradas en organizaciones públicas y privadas, donde se dieron diferentes enfoques como lo son Escuelas de padres, asesorías nutricionales, asesoría y talleres de hábitos y estilos de vida saludables. (136) Tamizaje Cardiovasculares en las organizaciones públicas y privadas. (84) Tamizaje Cardiovasculares en centros penitenciarios y carcelarios del Distrito, acompañado de 1 asesorías con equipo psicosocial del área.
(823) Participantes de las Jornadas recreo deportivas y de actividad física en organizaciones públicas y privadas. A continuación, se reportan la caracterización de los beneficiados de la estrategia así: 
Total de participantes en las actividades  (800) Mujeres y (477) Hombres.
(285) Víctimas de conflictos que vienen siendo atendidas en CRAV – Centro Regional de Atención a Víctimas,
3 veces a la semana. (234) Personas nuevas impactadas que están privadas de la libertad, cárcel de hombres y fundación TALID 3 veces a la semana. (92) Personas en condición de discapacidad.Acumulado total actual: (12.604), </t>
    </r>
    <r>
      <rPr>
        <b/>
        <u/>
        <sz val="18"/>
        <color theme="1"/>
        <rFont val="Calibri"/>
        <family val="2"/>
      </rPr>
      <t>Desde el Programa de Hábitos y Estilos de Vida Saludable, y su Proyecto Mejoramiento de los Estilos de Vida Mediante la Promoción Masiva de una Vida Activa</t>
    </r>
    <r>
      <rPr>
        <sz val="18"/>
        <color theme="1"/>
        <rFont val="Calibri"/>
        <family val="2"/>
      </rPr>
      <t xml:space="preserve">, se pasó de (6.996) usuarios impactados a (7.210), representando un incremento de (214) usuarios nuevos inscritos. Distribuidos de la siguiente manera: (65) Madrúgale a la Salud, (75) Noches Saludables, (9)   Caminante Saludable y Actívate Running  
(30) Joven Saludable , (35) Actívate en el Parque.  </t>
    </r>
    <r>
      <rPr>
        <b/>
        <u/>
        <sz val="18"/>
        <color theme="1"/>
        <rFont val="Calibri"/>
        <family val="2"/>
      </rPr>
      <t>Madrúgale a la Salud t</t>
    </r>
    <r>
      <rPr>
        <sz val="18"/>
        <color theme="1"/>
        <rFont val="Calibri"/>
        <family val="2"/>
      </rPr>
      <t xml:space="preserve">enía registrados en el informe anterior (2.760) usuarios, en este periodo se aumenta el número de participantes de nuestra estrategia, (65) usuarios nuevos, dando un acumulado de (2.825) personas beneficiadas desde la Estrategia. Se tienen actualmente 62 puntos activos.Total de participantes en la estrategia (2.825). Mujeres (2.629) y Hombres (196).es (93%) y Hombres (7%).Caminante Saludable y Actívate Running se encontraba con (480) usuarios, en este periodo registraron (9) nuevos inscritos, para un total de (489) usuarios activos. Se mantuvieron las 4 rutas de Caminante Saludable y las 5 de rutas de Actívate Running en las 3 localidades del Distrito de Cartagena de Indias.Total de participantes en la estrategia 489.  Mujeres (399) y Hombres (90).Mujeres (82%) y Hombres (18%).Noches Saludables registraba (2.842) usuarios, en este periodo se aumenta el número de participantes de nuestra estrategia, (75) usuarios nuevos, dando un acumulado de (2.917). Se tiene 67 puntos activos en la actualidad. Total de personas inscritas en la estrategia 2.917. Mujeres (2.830) Hombres (86) y LGBTI+ (1), Mujeres (97%) Hombres (2,9%) y LGBTI+ (0,03%). Joven Saludable registraba (547) usuarios, en este periodo se aumenta el número de participantes de nuestra estrategia, (30) usuarios nuevos, dando un acumulado de (577). Se trabaja actualmente con 16 núcleos.  Total de participantes en la estrategia 577. Mujeres (441) y Hombres (136), Mujeres (76%) y Hombres (24%),El número acumulado de participantes en eventos de actividad física en el período del 21 de julio al 20 de agosto pasó de (12.609) del último informe, a la fecha a (15.813). A continuación, se reportan la caracterización de los participantes en las actividades de este periodo (3.204) así: (2.083) Personas asistentes a 27 eventos de concentración.  Mujeres (1.860) Hombres (223), (1.121) Personas asistentes a 25 eventos de promoción..Mujeres (1.064) Hombres (57).-	En el período del 21 de julio al 20 de agosto se realizaron veintisiete (27) Eventos de Concentración.
-	Se sigue desarrollando con gran acogida por parte de nuestros usuarios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Los eventos o sesiones de Acuaeróbic se registran como Eventos de Concentración.
</t>
    </r>
  </si>
  <si>
    <t>Desde la Estrategia Entornos Saludables en el acumulativo de los periodos pasados se han beneficiado (12.604) personas, en este periodo se generaron 34 actividades, adicionales tenemos las atenciones fijas en los centros penitenciarios y carcelarios con 19 atenciones en el mes entre las instituciones beneficiadas, impactando un total (1.923) personas, distribuidas de la siguiente forma:
(252) Personas asesoradas en organizaciones públicas y privadas, donde se dieron diferentes enfoques como lo son Escuelas de padres, asesorías nutricionales, asesoría y talleres de hábitos y estilos de vida saludables.
(242) Tamizaje Cardiovasculares en las organizaciones públicas y privadas.
(760) Personas impactadas en Campaña de salud en la prevención de la conducta suicida, llevada a cabo en las instituciones educativas e IPS de la ciudad, con asesoría magistral y taller práctico y lúdico.
(669) Participantes de las Jornadas recreo deportivas y de actividad física en organizaciones públicas y privadas.
A continuación, se reportan la caracterización de los beneficiados de la estrategia así: Total de participantes en las actividades 
(1.214) Mujeres y (709) Hombres. (197) Víctimas de conflictos que vienen siendo atendidas en CRAV – Centro Regional de Atención a Víctimas, 3 veces a la semana.
(90) Personas nuevas impactadas que están privadas de la libertad, cárcel de hombres y Fundación Talid, tres (3) veces a la semana,.(65) Personas migrantes Acumulado total actual: (14.527)
Desde el Programa de Hábitos y Estilos de Vida Saludable, y su Proyecto Mejoramiento de los Estilos de Vida Mediante la Promoción Masiva de una Vida Activa, se pasó de (6.996) usuarios impactados a (7.210), representando un incremento de (214) usuarios nuevos inscritos. Distribuidos de la siguiente manera:
(65) Madrúgale a la Salud,(75) Noches Saludables, (9)   Caminante Saludable y Actívate Running, (30) Joven Saludable   (35) Actívate en el Parque  
Madrúgale a la Salud tenía registrados en el informe anterior (2.760) usuarios, en este periodo se aumenta el número de participantes de nuestra estrategia, (65) usuarios nuevos, dando un acumulado de (2.825) personas beneficiadas desde la Estrategia. Se tienen actualmente 62 puntos activos. Total de participantes en la estrategia (2.825). Mujeres (2.629) y Hombres (196), Mujeres (93%) y Hombres (7%).
Caminante Saludable y Actívate Running se encontraba con (480) usuarios, en este periodo registraron (9) nuevos inscritos, para un total de (489) usuarios activos. Se mantuvieron las 4 rutas de Caminante Saludable y las 5 de rutas de Actívate Running en las 3 localidades del Distrito de Cartagena de Indias. Total de participantes en la estrategia 489.  Mujeres (399) y Hombres (90), Mujeres (82%) y Hombres (18%).
Noches Saludables registraba (2.842) usuarios, en este periodo se aumenta el número de participantes de nuestra estrategia, (75) usuarios nuevos, dando un acumulado de (2.917). Se tiene 67 puntos activos en la actualidad.
Total de personas inscritas en la estrategia 2.917. Mujeres (2.830) Hombres (86) y LGBTI+ (1), Mujeres (97%) Hombres (2,9%) y LGBTI+ (0,03%).</t>
  </si>
  <si>
    <t xml:space="preserve">Desde la Estrategia Entornos Saludables en el acumulativo de los periodos pasados se han beneficiado (14.527) personas, en este periodo se generaron 44 actividades, adicionales tenemos las atenciones fijas en los centros penitenciarios y carcelarios con 17 atenciones en el mes entre las instituciones beneficiadas, impactando un total (2.790) personas, distribuidas de la siguiente forma:
(82) Personas asesoradas en organizaciones públicas y privadas, donde se dieron diferentes enfoques como lo son asesorías nutricionales, asesoría y talleres de hábitos y estilos de vida saludables.
(244) Tamizaje Cardiovasculares en las organizaciones públicas y privadas.
(1.297) Personas impactadas en Campaña de salud y bienestar en el marco de la prevención de la obesidad y sobrepeso, llevada a cabo en las instituciones educativas y en organizaciones públicas y privadas, con asesoría magistral y taller práctico y lúdico, en donde se tuvo compañía de diferentes entidades publicas y privadas 
(59) Personas impactadas en Campaña de salud mental en el marco de la conmemoración del día mundial de la salud mental, llevando una clase especia de gimnasia psicofísica integrando al equipo psicosocial con un enfoque de bienestar mental
(362) Personas impactadas en la campaña del mes rosa, en conmemoración del día internacional de la prevención del cáncer de mama, estas actividades hicieron parte de la gran agenda programática del mes .Joven Saludable registraba (648) usuarios, en este periodo se aumenta el número de participantes de nuestra estrategia, (10) usuario nuevo, dando un acumulado de (658). Se trabaja actualmente con 20 núcleos de la Estrategia.
(746) Participantes de las Jornadas recreo deportivas y de actividad física en organizaciones públicas y privadas.Desde el Programa de Hábitos y Estilos de Vida Saludable, y su Proyecto Mejoramiento de los Estilos de Vida Mediante la Promoción Masiva de una Vida Activa, se pasó de (7.511) usuarios impactados a (7.957), representando un incremento de (446) usuarios nuevos inscritos. Madrúgale a la Salud tenía registrados en el informe anterior (2.903) usuarios, en este periodo se aumenta el número de participantes de nuestra estrategia, (156) usuarios nuevos, dando un acumulado de (3.059) personas beneficiadas desde la Estrategia. Se tienen actualmente 69 puntos activos. El número de puntos activos aumento debido a las nuevas comunidades que se sumaron al programa a través del Convenio Interadministrativo Mindeporte- Universidad de Cordoba, los nuevos puntos activos son: La Boquilla Sector Marlinda, La Boquilla Sector Marlinda Centro de Vida, Nuevos Jardines, Ternera Centro de Vida, San Francisco Centro de Vida y Villas de Aranjuez Sector Península.Caminante Saludable y Actívate Running se encontraba con (503) usuarios, en este periodo registraron (12) nuevos inscritos, para un total de (515) usuarios activos. Se mantuvieron las 4 rutas de Caminante Saludable y las 5 de rutas de Actívate Running en las 3 localidades del Distrito de Cartagena de Indias. Noches Saludables registraba (2.993) usuarios, en este periodo se aumenta el número de participantes de nuestra estrategia, (257) usuarios nuevos, dando un acumulado de (3.250). Se tiene 75 puntos activos en la actualidad. El número de puntos activos aumento debido a los nuevas comunidades que se sumaron al programa a través del Convenio Interadministrativo Mindeporte- Universidad de Cordoba , los nuevos puntos activos son: Corregimiento de Arroyo de Piedra, Tierra Baja, Zaragocilla Sector El Progreso, Bajos de San Isidro, Ternera Calle del Banquito, La Consolata, El Bosque Sector Manzanillo, Conjunto Residencial Territorio Mío, Parques de Bolívar, Conjunto Residencial Portales de San Fernando III, para un total de diez (10) comunidades nuevas dentro del Programa de Hábitos y Estilos de Vida Saludable.
</t>
  </si>
  <si>
    <t>Puesta en marcha del "Centro de Acondicionamiento físico- CAF"</t>
  </si>
  <si>
    <t xml:space="preserve">Contratatación de prestación de servicios profesionale y/o de apoyo a la gestión del equipo de trabajo que ejecutará las actividades del proyecto
Suministro de Materiales e insumos para adecuación del CAF
Servicios requeridos para adecuación y puesta en marcha CAF a través de Secop II </t>
  </si>
  <si>
    <t>2.1 Servicio de apoyo a la actividad física, la recreación y el deporte</t>
  </si>
  <si>
    <t>2.1.1 Desarrollar las acciones de la estrategia "Madrúgale a la Salud" (49) puntos
de actividad física de Madrúgale a la Salud</t>
  </si>
  <si>
    <t>2.1.2 Desarrollar las acciones de la estrategia "Caminante Saludable" (4) puntos
de actividad física de Caminante Saludable</t>
  </si>
  <si>
    <t>2.1.3 Desarrollar las acciones de la estrategia "Noches Saludables" (49) puntos
de actividad física de Noches Saludables</t>
  </si>
  <si>
    <t>2.1.4 Desarrollar las acciones de la estrategia "Joven Saludable" (11) puntos de actividad física de Joven Saludable</t>
  </si>
  <si>
    <t>2.1.5 Diseñar e implementar el semillero de actividad física Un (1) semillero de
actividad física</t>
  </si>
  <si>
    <t xml:space="preserve">Suministro de materiales e insumos para implementación del semillero a través de Secop II y bolsa mercantíl </t>
  </si>
  <si>
    <t xml:space="preserve"> Selección abreviada de menor cuantía </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</si>
  <si>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</si>
  <si>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</si>
  <si>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2.1.6 Divulgar las acciones de las estrategias y eventos realizadas Ocho (8)
estrategias de divulgación y promoción</t>
  </si>
  <si>
    <t xml:space="preserve">Contratatación de prestación de servicios profesionale y/o de apoyo a la gestión del equipo de trabajo que ejecutará las actividades del proyecto
Producción y emisión programas de TV 
Producción y difusión de mensajes de radio a través de Secop II </t>
  </si>
  <si>
    <t xml:space="preserve">Contratación directa                                     Selección Abreviada de Menor Cuantía </t>
  </si>
  <si>
    <t xml:space="preserve">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
</t>
  </si>
  <si>
    <t>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personas.Del 21 de abril al 20 de mayo de 2023, (1.118)     Personas asistentes a uno (1) evento de ciudad Celebración día mundial de la actividad física en la Localidad 1 en el campo de sóftbol Barrio Los Cerros y la clausura en el Estadio de Fútbol Jaime Morón León, registrándose una asistencia de Mujeres (1.067) Hombres (51).</t>
  </si>
  <si>
    <t xml:space="preserve">El número acumulado de participantes en eventos de actividad física pasó de (8.127) del último informe, a la fecha a (10.329) .
A continuación, se reportan la caracterización de los participantes en las actividades de este periodo (2.202) así: (1.867) Personas asistentes a (25) eventos de concentración.  Mujeres (1.691) Hombres (176) , (335)   Personas asistentes a (8) eventos de promoción.  Mujeres (303)    Hombres (32) .-En este periodo se realizaron 25 Eventos de Concentración. -	Se encuentra activa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Se han desarrollado cuatro sesiones desde su apertura.-Se realizaron en el período 8 Eventos de Promoción.
</t>
  </si>
  <si>
    <t xml:space="preserve">El número acumulado de participantes en eventos de actividad física pasó de (10.329) del último informe, a la fecha a (12.609) 
A continuación, se reportan la caracterización de los participantes en las actividades de este periodo (2.280) así:
(2.252) Personas asistentes a 29 eventos de concentración.  Mujeres (2.118) Hombres (134)
(28)      Personas asistentes a 1 eventos de promoción.          Mujeres (27)     Hombres (1)
</t>
  </si>
  <si>
    <t xml:space="preserve">El período del 21 de julio al 20 de agosto se realizaron veintisiete (27) Eventos de Concentración.
-	Se sigue desarrollando con gran acogida por parte de nuestros usuarios la acción Acuaeróbic, que consiste es una estrategia diseñada para el mejoramiento de los estilos de vida saludable, donde se combinan los beneficios de la gimnasia aeróbica y el agua. Esta acción se realiza dos veces al mes en las instalaciones del Complejo Acuático A6Jaime González Johnson. Los eventos o sesiones de Acuaeróbic se registran como Eventos de Concentración.
</t>
  </si>
  <si>
    <t>El número acumulado de participantes en eventos de actividad física a corte de 15 de septiembre pasó de (15.813) del último informe, a la fecha a (20.309) 
A continuación, se reportan la caracterización de los participantes en las actividades de este periodo (4.496) así:
(1.321) Personas asistentes a 22 eventos de concentración.  Mujeres (1.235) Hombres (86)
(3.175) Personas asistentes a 72 eventos de promoción.        Mujeres (2.789) Hombres (386)</t>
  </si>
  <si>
    <t>El número acumulado de participantes en eventos de actividad física al período comprendido entre el 21 de septiembre y el 20 de octubre pasó de (20.309) del último informe, a la fecha a (23.851) 
A continuación, se reportan la caracterización de los participantes en las actividades de este periodo (3.542) así:
(1.751) Personas asistentes a 28 eventos de concentración.  Mujeres (1.636) Hombres (115)
(1.039) Personas asistentes a 25 eventos de promoción.        Mujeres (955)    Hombres (84)
(202) Personas asistentes a Joven Saludable al Parque Localidad 3. Mujeres (198) Hombres (22)
(550) Personas asistentes a Toma Rosa a Escenarios Deportivos Estadio Jaime Morón León. Mujeres (535) Hombres (15)
En el período reportado del 21 de septiembre al 20 de octubre se realizaron dos (2) Eventos de Ciudad, se realizo el día 14 de octubre Joven Saludable al Parque, en el Barrio El Socorro Parque Artístico y Cultural, con la presencia de 220 personas. Y el día 19 de octubre en el Estadio de Fútbol Jaime Morón León se realizo la Toma Rosa a Escenarios Deportivos, con la Súper Clase Rosa donde contamos con la presencia de 550 usuarios de nuestras estrategias.</t>
  </si>
  <si>
    <t>3.1 Servicio de organización de eventos recreativos comunitarios</t>
  </si>
  <si>
    <t>3.1.1 Desarrollar eventos de concentración (720) eventos de concentración</t>
  </si>
  <si>
    <t>3.1.2 Desarrollar eventos de promoción (720) eventos de promoción</t>
  </si>
  <si>
    <t>En el mes de febrero de 2023, no se llevaron a cabo eventos de ciudad.</t>
  </si>
  <si>
    <t>En el mes de marzo de 2023, no se llevaron a cabo eventos de ciudad.</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</si>
  <si>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</si>
  <si>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</si>
  <si>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3.1.4 Desarrollar eventos de ciudad (18) eventos de ciudad</t>
  </si>
  <si>
    <t>Contratatación de prestación de servicios profesionale y/o de apoyo a la gestión del equipo de trabajo que ejecutará las actividades del proyecto
Servicios de operación logística para el desarrollo de eventos de ciudad</t>
  </si>
  <si>
    <t xml:space="preserve">Contratación directa
Selección abreviada a través de la Bolsa Mercantil </t>
  </si>
  <si>
    <t>En el mes de marzo  de 2023, no se llevaron a cabo eventos de ciudad.</t>
  </si>
  <si>
    <t>Para este período se llevaron a acabo dos eventos , los cuales son: 1. Se realizó el día 12.04.2023 y 14.04.2023 Evento de Ciudad con motivo de la celebración del día mundial de la actividad física en las localidades 2 en el Campo de Sóftbol de Las Palmeras  y localidad 3 en el Templo del Fútbol Menor del Barrio Alameda la Victoria, de estos dos eventos se beneficiaron  3.025 personas.</t>
  </si>
  <si>
    <t>Para el período de enero a junio de 2023, se realizaron cuatro (4) eventos : Los  cuales fueron:  1. Se realizó el día 12.04.2023 y 14.04.2023 Evento de Ciudad con motivo de la celebración del día mundial de la actividad física en las localidades 2 en el Campo de Sóftbol de Las Palmeras  y localidad 3 en el Templo del Fútbol Menor del Barrio Alameda la Victoria, 3. Del 21 de abril al 20 de mayo de 202,  un  (1) evento de ciudad Celebración día mundial de la actividad física en la Localidad 1 en el campo de sóftbol Barrio Los Cerros  4.  la clausura en el Estadio de Fútbol Jaime Morón León.</t>
  </si>
  <si>
    <t>No se realizaron Eventos de Ciudad en el período de junio 21 a junio 20 de 2023.</t>
  </si>
  <si>
    <t>No se realizaron Eventos de Ciudad en el período de  junio 21 al 20 de agosto  de 2023.</t>
  </si>
  <si>
    <t xml:space="preserve">A corte de 15 de septiembre se realizaron veintidós (22) Eventos de Concentración.
Se sigue desarrollando con gran acogida por parte de nuestros usuarios la acción Acuaeróbic, que consiste es una estrategia diseñada para el mejoramiento de los estilos de vida saludable, donde se combinan los beneficios de la gimnasia aeróbica y el agua. Esta acción se realiza dos veces al mes en las instalaciones del Complejo Acuático Jaime González Johnson. Los eventos o sesiones de Acuaeróbic se registran como Eventos de Concentración.
A corte de 15 de septiembre se realizaron setenta y dos (72) Eventos de Concentración.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</si>
  <si>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</si>
  <si>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</si>
  <si>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</si>
  <si>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2.1 Servicio de organización de eventos recreativos comunitarios</t>
  </si>
  <si>
    <t xml:space="preserve">Dinamizar el desarrollo social y proporcionar espacios de encuentro a los cartageneros a través de 
actividades recreativas que promuevan el esparcimiento, aprovechamiento del tiempo libre, la 
integración familiar, social y comunitaria. Desarrolla actividades como: VAS – Vías Recreativas, 
Festival Internacional de la Cometa, Campamentos Juveniles, Escuela Recreativa, Recreación para 
todos (Cartagena es de los niños, Cartagena es de todos y Vacaciones Recreativas), Playas 
Recreativas, entre otras. Lo anterior, con el fin de generar un impacto positivo sobre la realidad 
sociocultural de la comunidad cartagenera. </t>
  </si>
  <si>
    <t>RECREACIÓN COMUNITARIA Y APROVECHAMIENTO DEL TIEMPO LIBRE, COMO MECANISMO DE COHESIÓN E INTEGRACIÓN SOCIAL EN EL DISTRITO DE   CARTAGENA DE INDIAS</t>
  </si>
  <si>
    <t>Aumentar la interacción social a través de la práctica de la recreación en el tiempo libre</t>
  </si>
  <si>
    <t>2.1.1 Desarrollar la estrategia "Vacaciones Recreativas"</t>
  </si>
  <si>
    <t>2.3.4301.1604.2021130010230</t>
  </si>
  <si>
    <t>Contratatación de prestación de servicios profesionale y/o de apoyo a la gestión del equipo de trabajo que ejecutará las actividades del proyecto
Servicio de operación logística</t>
  </si>
  <si>
    <t>En el mes de enero de 2023, se inicio la contratación del personal que desarrollan  las diferentes estrategia de este programas , se avanzo en la  la estrategia de Escuela Recreativas la cual beneficio a 80 personas.</t>
  </si>
  <si>
    <r>
      <rPr>
        <b/>
        <u/>
        <sz val="20"/>
        <color theme="1"/>
        <rFont val="Calibri"/>
        <family val="2"/>
        <scheme val="minor"/>
      </rPr>
      <t>APROVECHAMIENTO DEL ESPACIO PUBLICO:</t>
    </r>
    <r>
      <rPr>
        <sz val="20"/>
        <color theme="1"/>
        <rFont val="Calibri"/>
        <family val="2"/>
        <scheme val="minor"/>
      </rPr>
      <t xml:space="preserve"> 1. En el periodo comprendido entre el 1 y 15 de febrero realizamos la primera playa recreativa y Ciclovía barrial, 2. Estamos haciendo visitas a las comunidades para ofertar nuestras estrategias y poder llegar a más personas, teniendo presente disponibilidad de espacios públicos y privados que sean de fácil acceso para el cumplimiento de protocolos.3. Nos encontramos a espera de la contratación del servicio de transporte tipo camión para poder brindarle la oportunidad a más comunidades de beneficiarse con nuestras actividades. 4.Se llevo a cabo el primer comité Probici con todas las secretarias del Distrito y el día 24 de febrero se realizó un recorrido técnico por la Avenida Santander en donde se escogieron los puestos de servicios unificados (PSU) para las ciclovías de ciudad que se estarán adelantando durante este año 2023.5. Seguimos ofertando nuestras estrategias en las comunidades para lograr beneficiar a un mayor numero de ciudadanos; seguido identificar los espacios idóneos para el desarrollo de las actividades referenciadas.6. Nos encontramos a la espera de la contratación del servicio de transporte tipo camión para beneficiar a más comunidades, aumentando la cobertura de nuestras estrategias.</t>
    </r>
    <r>
      <rPr>
        <b/>
        <sz val="20"/>
        <color theme="1"/>
        <rFont val="Calibri"/>
        <family val="2"/>
        <scheme val="minor"/>
      </rPr>
      <t xml:space="preserve"> CAMPAMENTOS JUVENILES:</t>
    </r>
    <r>
      <rPr>
        <sz val="20"/>
        <color theme="1"/>
        <rFont val="Calibri"/>
        <family val="2"/>
        <scheme val="minor"/>
      </rPr>
      <t xml:space="preserve">1. Se Realizaron 8 capacitación a Líderes de Campamentos Juveniles, sobre los 5 Eje Temáticos. 2. Se organizó lanzamiento del proyecto para el día 18 de febrero.3. Se están organizando los oficios para ofertar el proyecto como servicio social en instituciones educativas publicas y privadas.4. No se inició la estrategia el día 25 de febrero, como se tenía programado, debido al inconveniente de las I.E. con el servicio de vigilancia y aseo, generando una baja asistencia. 5. Se informó a los asistentes sobre la metodología y proceso de inscripción para el 2023. </t>
    </r>
    <r>
      <rPr>
        <b/>
        <sz val="20"/>
        <color theme="1"/>
        <rFont val="Calibri"/>
        <family val="2"/>
        <scheme val="minor"/>
      </rPr>
      <t xml:space="preserve"> ESCUELAS RECREATIVAS:</t>
    </r>
    <r>
      <rPr>
        <sz val="20"/>
        <color theme="1"/>
        <rFont val="Calibri"/>
        <family val="2"/>
        <scheme val="minor"/>
      </rPr>
      <t xml:space="preserve"> 1. Se realizaron acercamientos a los corregimientos y focalización de la población próxima a beneficiar durante el mes de febrero. 2. Seguimos a la espera que el Instituto Colombiano de Bienestar Familiar de inicio a su plan de acción para que los diferentes operadores logren activar las atenciones en los centros de desarrollo integral del Distrito de Cartagena.Las capacitaciones a  3. las madres comunitarias y agentes educativas en talleres de elaboración de juguetes y juegos se estarán realizando durante el mes de marzo en el desarrollo de las jornadas pedagógicas.3. Se realizaron asesorías de hábitos y estilos de vida saludables a 144 madres comunitarias y agentes educativas de los corregimientos de Caño del Oro y La Boquilla.4. Se atendieron 873 niños de primera infancia en el desarrollo de las sesiones Lúdicas permanentes con actividades rectoras en los corregimientos de Tierra Bomba, Pasacaballos y Membrillal.5. Desde la estrategia Actívate Gestante no se han realizado atenciones ya que se realizó focalización en los corregimientos que se encuentran en contrato con ICBF desde cada operador, 6. se realizaran atenciones a partir del mes de marzo.7. Los carnavales lúdicos están programados a partir del mes de marzo.8. El encuentro de gestantes está programado para el mes de marzo. </t>
    </r>
    <r>
      <rPr>
        <b/>
        <sz val="20"/>
        <color theme="1"/>
        <rFont val="Calibri"/>
        <family val="2"/>
        <scheme val="minor"/>
      </rPr>
      <t>RECREACIÓN PARA</t>
    </r>
    <r>
      <rPr>
        <sz val="20"/>
        <color theme="1"/>
        <rFont val="Calibri"/>
        <family val="2"/>
        <scheme val="minor"/>
      </rPr>
      <t xml:space="preserve"> </t>
    </r>
    <r>
      <rPr>
        <b/>
        <sz val="20"/>
        <color theme="1"/>
        <rFont val="Calibri"/>
        <family val="2"/>
        <scheme val="minor"/>
      </rPr>
      <t xml:space="preserve">TODOS: </t>
    </r>
    <r>
      <rPr>
        <sz val="20"/>
        <color theme="1"/>
        <rFont val="Calibri"/>
        <family val="2"/>
        <scheme val="minor"/>
      </rPr>
      <t>1. Se dio inicio a la campaña “rescatando sonrisa” impactando a 177 personas en los 15 días del  mes de febrero. 2. Se realizan acercamientos a las comunidades socializando las diferentes estrategias que dan cumplimiento al plan de acción con sus indicadores.3. Seguimos trabajando con la campaña “Rescatando Sonrisas” desde el segundo corte del mes de febrero.4. Continuamos realizando acercamientos sobre nuestras ofertas a las JAC, Grupos Organizados, Centros de Vida, Instituciones Educativas y otras entidades para lograr captar mayor población. 5. Se dio inicio a los Talleres Recreativos dirigido a las Instituciones Educativas.</t>
    </r>
  </si>
  <si>
    <t xml:space="preserve">1.  En el mes de marzo se realizaron (10) actividades beneficiando 760 personas en las tres localidades, 2. En el mes de marzo se impactaron 156 personas en jornadas recreativas a través de juntas de acción comunal,3.En el mes de marzo 598   a través de diferentes acciones como los talleres creativos, asesoría de hábitos y estilos de vida saludable, movilidad articular jornadas recreativas, tamizaje impactando las tres localidades, 4.Se adelantaron (4) Asesorías de hábitos y estilos de vida saludables durante el mes de febrero y marzo donde se impactaron 207 persona,5.En el mes de marzo se realizó (1) taller de elaboración de juguete donde se impactaron 34 personas, 6.Se ejecuto (1) carnaval lúdico en el mes de marzo donde se beneficiaron 341 personas, 7.Se adelantaron (4) actividades de estimulación temprana durante el mes de marzo beneficiando 153 madres gestantes lactantes en el corregimiento de pasacaballo y la ciudad de Cartagena. 8.En los encuentros intergeneracionales del Proyecto hemos alcanzado a beneficiar 165 personas (adolescentes y jóvenes) inscritos en la plataforma de Google Drive, 9.En los procesos de socialización a las instituciones educativas (5) para el servicio social obligatorio (80 horas) se han beneficiados 764 personas, 10. En la realización del camping por un día (1) se beneficiaron 673 personas, 11. Realizamos (13) recréate en tu barrio (VAS) en los meses comprendidos durante febrero y marzo, beneficiando a 1.377 personas en donde participaron 749 mujeres y 628 hombres,12. llevamos a cabo (3) playas recreativas durante el periodo comprendido de febrero y marzo, logrando beneficiar a 158 personas las cuales 93 fueron mujeres y 65 hombres, 13. Durante el periodo de febrero y marzo se adelantaron (4) actividades Salvemos Juntos a Cartagena) ofertas institucionales - plan de emergencia social Pedro Romero, logrando beneficiar a 298 personas, llegando a 200 mujeres y 98 hombres.14. Adelantamos (4) ciclo paseos durante los meses de febrero y marzo, logrando beneficiar 248 personas impactando a 100 mujeres y 148 hombres, 15.En los meses de febrero y marzo se brindó apoyo a las diferentes entidades del Distrito en 4 programas de Salvemos impactando 310 personas reflejando en (personas que acceden a servicios deportivos, recreativos y de actividad física).16.Se ejecutaron (1) talleres de técnicas de recreación en el mes de febrero en la Institución Educación Pontezuela y (3) talleres en el mes de marzo colegio Biffi, Instituto Cirí y atención integra beneficiando 208 personas.
</t>
  </si>
  <si>
    <r>
      <rPr>
        <b/>
        <sz val="20"/>
        <color theme="1"/>
        <rFont val="Calibri"/>
        <family val="2"/>
        <scheme val="minor"/>
      </rPr>
      <t>1.</t>
    </r>
    <r>
      <rPr>
        <sz val="20"/>
        <color theme="1"/>
        <rFont val="Calibri"/>
        <family val="2"/>
        <scheme val="minor"/>
      </rPr>
      <t xml:space="preserve"> Esta estrategia beneficia a los niños del Distrito y sus corregimientos, brindándoles durante 10 días diferentes actividades recreo-deportivas que adelantaremos en el parque ecológico. Todo lo canalizamos a través de las Alcaldías Locales con el apoyo de entidades oficiales y privadas.  En el mes de abril se realizaron 7 jornadas Recreativas y actividad física Beneficiando 852 personas 476 Femeninas y 376 Masculino.</t>
    </r>
    <r>
      <rPr>
        <b/>
        <sz val="20"/>
        <color theme="1"/>
        <rFont val="Calibri"/>
        <family val="2"/>
        <scheme val="minor"/>
      </rPr>
      <t>2.</t>
    </r>
    <r>
      <rPr>
        <sz val="20"/>
        <color theme="1"/>
        <rFont val="Calibri"/>
        <family val="2"/>
        <scheme val="minor"/>
      </rPr>
      <t xml:space="preserve"> Esta estrategia va dirigido a la población infantil del Distrito de Cartagena. Lo desarrollamos con 100 niños por actividad los sábados cada 15 días, que oscilan en edades de 8 a 14 años, brindándoles un día recreativo y la visita a sitios Turístico de Cartagena con la compañía de 4 representantes de la comunidad o  canalizamos a través de Grupos Organizados Legalmente y J.A.C.  En el mes de abril se realizaron 7 actividades en las diferentes localidades, Beneficiando 991 usuarios 469 mujeres y 522 hombres.</t>
    </r>
    <r>
      <rPr>
        <b/>
        <sz val="20"/>
        <color theme="1"/>
        <rFont val="Calibri"/>
        <family val="2"/>
        <scheme val="minor"/>
      </rPr>
      <t>3.</t>
    </r>
    <r>
      <rPr>
        <sz val="20"/>
        <color theme="1"/>
        <rFont val="Calibri"/>
        <family val="2"/>
        <scheme val="minor"/>
      </rPr>
      <t xml:space="preserve"> PERSONA MAYOR NUEVO COMIENZO: Esta estrategia va encaminado a una población de personas mayores de 60 años, Integrados en Centros de Vida y Grupos Organizados donde beneficiamos a 100 personas por actividad, brindándoles un día recreativo y la visita a sitios Turísticos de la Ciudad con la compañía de 4 representantes de la comunidad. Todo lo canalizamos a través de Centros de Vida, Grupos Organizados Legalmente y JAC.TALLERES CREATIVOS: En esta estrategia se realizarán en los centros de vida y grupos organizados, actividades que desarrollen destrezas y habilidades artísticas, en la confección de diversos y variados trabajos con diferentes tipos de materiales y actividades lúdicas, recreo deportivas. ACTIVATE MAYOR: Toma de Indicadores de la salud Signos vitales, talla, Peso, IMC: , Perímetro de  abdominal , Asesoría de Hábitos y Estilo de Vida Saludable y retro alimentación de los datos encontrados ,Mas jornada de Actividad Física y Recreación Adaptada a Persona Mayor, potenciado a la Capacidad Cardiovascular, Fuerza Coordinación y Equilibrio.</t>
    </r>
    <r>
      <rPr>
        <b/>
        <sz val="20"/>
        <color theme="1"/>
        <rFont val="Calibri"/>
        <family val="2"/>
        <scheme val="minor"/>
      </rPr>
      <t xml:space="preserve"> 4</t>
    </r>
    <r>
      <rPr>
        <sz val="20"/>
        <color theme="1"/>
        <rFont val="Calibri"/>
        <family val="2"/>
        <scheme val="minor"/>
      </rPr>
      <t>. En el periodo comprendido del 21 de marzo al 20 de abril se realizaron18 actividades como son los talleres creativos dirigido a la persona mayor Beneficiando 719 personas.</t>
    </r>
    <r>
      <rPr>
        <b/>
        <sz val="20"/>
        <color theme="1"/>
        <rFont val="Calibri"/>
        <family val="2"/>
        <scheme val="minor"/>
      </rPr>
      <t xml:space="preserve"> (5.):</t>
    </r>
    <r>
      <rPr>
        <sz val="20"/>
        <color theme="1"/>
        <rFont val="Calibri"/>
        <family val="2"/>
        <scheme val="minor"/>
      </rPr>
      <t xml:space="preserve"> 1-	ESCUELA RECREATIVA: es un proceso inclusivo, integro, solidario, basado en el fomento de ambientes participativos donde se estimule el afecto, fomento de valores, pautas de crianza positiva, cuidado y estilos de vida saludables, convirtiéndonos desde el instituto en acompañantes y generadores de espacios educativos significativos para la población de primera infancia. Se desarrollaron sesiones lúdicas permanentes donde se impactaron 2362 niños de primera infancia en hogares comunitarios y CDI.2-TALLER DE ELABORACION DE JUGUETES: se realiza taller grupal dirigido a agentes educativas de hogares comunitarios y CDI, donde se elaboran juguetes con material reciclable para utilizar con niños en el desarrollo de actividades. Se desarrollaron 3 talleres de elaboración de juguetes donde se beneficiaron 98 madres comunitarias. 3-ASESORIAS DE HABITOS Y ESTILOS DE VIDA SALUDABLE Promoción y sensibilización de hábitos y estilos de vida saludable, a través de la actividad física y la recreación. Se adelantaron 3 Asesorías de hábitos y estilos de vida saludables donde se impactaron 219 personas. 4-Se realizaron 3 escuelas para padres donde se beneficiaron 328 personas. 5-Se ejecutó un carnaval lúdico donde se impactaron 224 personas en el corregimiento de la Boquilla. 6-Se adelantaron 6 talleres de estimulación temprana donde se impactaron 280 madres gestantes y lactantes.7. Se desarrollaron 7 estaciones recreativas en cdi y hogares comunitarios de Cartagena donde se beneficiaron 876 personas.</t>
    </r>
    <r>
      <rPr>
        <b/>
        <sz val="20"/>
        <color theme="1"/>
        <rFont val="Calibri"/>
        <family val="2"/>
        <scheme val="minor"/>
      </rPr>
      <t>6.</t>
    </r>
    <r>
      <rPr>
        <sz val="20"/>
        <color theme="1"/>
        <rFont val="Calibri"/>
        <family val="2"/>
        <scheme val="minor"/>
      </rPr>
      <t xml:space="preserve">Campamentos Juveniles: Fomentar el disfrute del camping como una experiencia positiva, favoreciendo el desarrollo personal y social de los   participantes. Facilitar la práctica de actividades diferentes, creando actitudes sanas respecto al ocio y tiempo libre y trabajando la creatividad, la imaginación y la iniciativa para el desarrollo de habilidades. Desarrollar una actitud de respeto y cuidado hacia el medio ambiente. Respetar los valores y las normas de convivencia . 1.En los proyectos hemos alcanzado a beneficiar 395 personas (adolescentes y jóvenes), de los cuales en el primer trimestre se atendieron 165 y en el mes de abril 40 beneficiados para un alcance de 205 personas inscrita en la plataforma de google. Drive. 2.En los procesos de socialización a las Instituciones educativas se han realizado (10) acercamientos para el servicio social obligatorio (80 horas SSO) 5 en el primer trimestre y 5 en el mes de abril (916) beneficiados para un total de 1.680 personas 3.En la realización del Camping por un Día (1) se beneficiaron 673 personas en el primer trimestre.  
</t>
    </r>
  </si>
  <si>
    <r>
      <rPr>
        <b/>
        <u/>
        <sz val="20"/>
        <color theme="1"/>
        <rFont val="Calibri"/>
        <family val="2"/>
        <scheme val="minor"/>
      </rPr>
      <t xml:space="preserve">VACACIONES RECREATIVAS: </t>
    </r>
    <r>
      <rPr>
        <sz val="20"/>
        <color theme="1"/>
        <rFont val="Calibri"/>
        <family val="2"/>
        <scheme val="minor"/>
      </rPr>
      <t xml:space="preserve">En este periodo se realizaron 18 jornadas con 1.446 personas participantes. (795)  Mujeres –(651) Hombres  Se pasó de (2293) a (3739) acumulado total del periodo. </t>
    </r>
    <r>
      <rPr>
        <b/>
        <sz val="20"/>
        <color theme="1"/>
        <rFont val="Calibri"/>
        <family val="2"/>
        <scheme val="minor"/>
      </rPr>
      <t>Cartagena es de los Niños</t>
    </r>
    <r>
      <rPr>
        <sz val="20"/>
        <color theme="1"/>
        <rFont val="Calibri"/>
        <family val="2"/>
        <scheme val="minor"/>
      </rPr>
      <t xml:space="preserve">:Se realizaron (24) jornadas recreativas en lo correspondiente al periodo, beneficiando (6.905) personas, de las cuales (3.412) mujeres (3.493) hombres en las diferentes Instituciones Educativas del Distrito. </t>
    </r>
    <r>
      <rPr>
        <b/>
        <sz val="20"/>
        <color theme="1"/>
        <rFont val="Calibri"/>
        <family val="2"/>
        <scheme val="minor"/>
      </rPr>
      <t xml:space="preserve">Persona Mayor: </t>
    </r>
    <r>
      <rPr>
        <sz val="20"/>
        <color theme="1"/>
        <rFont val="Calibri"/>
        <family val="2"/>
        <scheme val="minor"/>
      </rPr>
      <t xml:space="preserve">Se da cumplimiento a la estrategia realizando en este periodo 17 jornadas y la campaña del día de la familia impactando 12 Centros de Vida. Se han Beneficiado 3.021 personas   a través de diferentes acciones como los talleres creativos, asesoría de hábitos y estilos de vida saludable, movilidad ticular, jornadas recreativas y tamizaje en las tres localidades (1486) Beneficiando     1053 Mujeres y  433  Hombres Se pasó de (1535)  impactados a (3021) personas mayores  Beneficiados.Desde la estrategia Escuela Recreativa en el periodo pasado se beneficiaron 5.122 personas, se realizaron  34 actividades para un total de 3.492 personas, dejando un acumulado a la fecha de 8.614 personas impactadas.
•	Se 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	Se realizaron 4 talleres de elaboración de juguetes donde se realizaron manualidades para la creación de juguetes con material reciclable, dirigidos a madres comunitarias, agentes educativos y padres de familia.
•	Se adelantaron 3 Asesorías de hábitos y estilos de vida saludables donde se realizan charlas de sensibilización sobre los hábitos y estilos de vida saludables basadas en los beneficios que tiene la recreación los buenos hábitos alimenticios y la actividad física en los niños y adultos, dirigidas a padres de familia, cuidadores, agentes educativos y madres comunitarias del distrito de Cartagena.
•	Se realizaron 3 escuelas para padres donde se dictaron talleres de pautas de crianza amorosa, manejo de emociones, y reconocimiento de emociones en los niños, lideradas por nuestro equipo interdisciplinario dirigido a cuidadores, agentes educativas y madres comunitarias del distrito de Cartagena.
•	Se llevaron a cabo 2 carnavales lúdicos donde se realizaron actividades recreativas para que las desarrollen padres e hijos con el fin de fortalecer lazos afectivos y brindar pautas de crianza positiva a través del juego. 
•	Se adelantaron 11 talleres de estimulación temprana con el fin de brindar a las madres gestantes y lactantes un programa de psicoprofilaxis, que propicien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•Se desarrollaron 11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(2362) Beneficiados Sesiones Lúdicas permanentes:    Mujeres: 1193           Hombres: 1169 (Se mantiene el número de inscritos) Se pasó de (5.122) a  (8.614) beneficiados acumulados.  (107)   Beneficiados de Talleres de elaboración de juguetes   Mujeres:  100     Hombres:      7 (174)   Beneficiados Asesorías  HEVS    Mujeres:    91           Hombres:    83 (97)     Beneficiados Escuelas para Padres                                      Mujeres:    88           Hombres:      9(409)   Beneficiados Carnavales lúdicos    Mujeres: 211           Hombres:   198 (850)   Beneficiados Actívate Gestante Estimulación Temprana      Mujeres: 65  Hombres:   199 (1855) Beneficiados Estaciones Recreativas     Mujeres: 980    Hombres:   875  (3.492) Beneficiados   Mujeres: (2.121)   hombres: (1.371)..En  el período comprendido entre el 21 de abril al 20 de mayo  se realizaron 14 actividades en diferentes comunidades del Distrito de Cartagena.  2.714  Beneficiados    Masculino 1.179 y Femenino 1.535 se pasò de 7.717 beneficiados a un acumulado total actual: (10.431) (829)        beneficiarios en 8 Recréate en tu barrio       Mujeres  453         Hombres   376 (58)          beneficiados en 1 Ployying                           Mujeres    43         Hombres     15 (823)        beneficiados en  4 Eventos de Alcaldía        Mujeres  413        Hombres   410 (1.004)     beneficiados en  1 Ciclovía Dominical          Mujeres  626         Hombres   378 Apoyamos en (4) eventos de Alcaldía llamados “Salvemos Juntos a Cartagena” con nuestra oferta institucional, beneficiando a 823 personas, 410 hombres y 413 mujeres. 
</t>
    </r>
  </si>
  <si>
    <r>
      <rPr>
        <b/>
        <sz val="16"/>
        <color theme="1"/>
        <rFont val="Calibri"/>
        <family val="2"/>
        <scheme val="minor"/>
      </rPr>
      <t xml:space="preserve">VACACIONES RECREATIVAS </t>
    </r>
    <r>
      <rPr>
        <sz val="16"/>
        <color theme="1"/>
        <rFont val="Calibri"/>
        <family val="2"/>
        <scheme val="minor"/>
      </rPr>
      <t>: En este periodo se realizaron 10 jornadas con Beneficiados (516)    Mujeres. (286)    Hombres (230) 
Se pasó de (3739) a (4255) acumulado total del periodo.</t>
    </r>
    <r>
      <rPr>
        <b/>
        <sz val="16"/>
        <color theme="1"/>
        <rFont val="Calibri"/>
        <family val="2"/>
        <scheme val="minor"/>
      </rPr>
      <t xml:space="preserve"> CARTAGENA ES DE LOS NIÑOS:</t>
    </r>
    <r>
      <rPr>
        <sz val="16"/>
        <color theme="1"/>
        <rFont val="Calibri"/>
        <family val="2"/>
        <scheme val="minor"/>
      </rPr>
      <t xml:space="preserve"> Se realizaron (13) jornadas recreativas en lo correspondiente al periodo,  Beneficiando (1.187)    Mujeres (641)    Hombres (546)  en las diferentes Instituciones Educativas del Distrito. Se pasó de (9668) a (10855) acumulado total del periodo.</t>
    </r>
    <r>
      <rPr>
        <b/>
        <sz val="16"/>
        <color theme="1"/>
        <rFont val="Calibri"/>
        <family val="2"/>
        <scheme val="minor"/>
      </rPr>
      <t xml:space="preserve">PERSONA MAYOR: </t>
    </r>
    <r>
      <rPr>
        <sz val="16"/>
        <color theme="1"/>
        <rFont val="Calibri"/>
        <family val="2"/>
        <scheme val="minor"/>
      </rPr>
      <t>Se da cumplimiento a la estrategia realizando en este periodo 5 jornadas Centros de Vida. Se han Beneficiado 170 personas   a través de diferentes acciones como los talleres creativos, asesoría de hábitos y estilos de vida saludable, jornadas recreativas y tamizaje en las tres localidades  Beneficiando (170)     Mujeres (102)        Hombres (68) Se pasó de (3021) impactados a (3191) personas mayores Beneficiados.</t>
    </r>
    <r>
      <rPr>
        <b/>
        <sz val="16"/>
        <color theme="1"/>
        <rFont val="Calibri"/>
        <family val="2"/>
        <scheme val="minor"/>
      </rPr>
      <t xml:space="preserve"> ESCUELA RECREATIVAS: Se </t>
    </r>
    <r>
      <rPr>
        <sz val="16"/>
        <color theme="1"/>
        <rFont val="Calibri"/>
        <family val="2"/>
        <scheme val="minor"/>
      </rPr>
      <t xml:space="preserve">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•Se realizaron 1 talleres de elaboración de juguetes donde se realizaron manualidades para la creación de juguetes con material reciclable, dirigidos a madres comunitarias, agentes educativos y padres de familia. •Se adelantaron 5 Asesorías de hábitos y estilos de vida saludables donde se realizan charlas de sensibilización sobre los hábitos y estilos de vida saludables basadas en los beneficios que tiene la recreación los buenos hábitos alimenticios y la actividad física en los niños y adultos, dirigidas a padres de familia, cuidadores, agentes educativos y madres comunitarias del distrito de Cartagena. •Se realizaron 4 escuelas para padres donde se dictaron talleres de pautas de crianza amorosa, manejo de emociones, y reconocimiento de emociones en los niños, lideradas por nuestro equipo interdisciplinario dirigido a cuidadores, agentes educativas y madres comunitarias del distrito de Cartagena. •Se llevaron a cabo 2 carnavales lúdicos donde se realizaron actividades recreativas para que las desarrollen padres e hijos con el fin de fortalecer lazos afectivos y brindar pautas de crianza positiva a través del juego.  
•Se adelantaron 11 talleres de estimulación temprana con el fin de brindar a las madres gestantes y lactantes un programa de psicoprofilaxis, que propicien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•Se desarrollaron 2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Desde la estrategia Escuela Recreativa en el periodo pasado se beneficiaron 8614 personas, en este período (21 de mayo al 20 de junio) se realizaron un total de 26 actividades, beneficiando 1628 personas,   Las sesiones permanentes se mantuvieron con un total acumulado  (2362) Beneficiados                Mujeres: 1193           Hombres: 1169  
Se pasó de (8614) a (10.242) beneficiados. (13)    Beneficiados taller de elaboración de juguete                      Mujeres: 13             Hombres: 0
(114)   Beneficiados asesorías de HEVS                                        Mujeres: 114           Hombres: 0 , (156)   Beneficiados escuela para padres.                                      Mujeres: 142           Hombres: 14, (284)   Beneficiados carnaval lúdico                                               Mujeres: 189           Hombres: 95, (615)   Beneficiados estimulación temprana                                   Mujeres: 517           Hombres: 98. 
(446)   Beneficiados estación recreativa                                         Mujeres: 216           Hombres: 230                                                                                                                                                                                      </t>
    </r>
    <r>
      <rPr>
        <b/>
        <sz val="16"/>
        <color theme="1"/>
        <rFont val="Calibri"/>
        <family val="2"/>
        <scheme val="minor"/>
      </rPr>
      <t xml:space="preserve">  
CAMPAMENTOS JUVENILES: </t>
    </r>
    <r>
      <rPr>
        <sz val="18"/>
        <color theme="1"/>
        <rFont val="Calibri"/>
        <family val="2"/>
        <scheme val="minor"/>
      </rPr>
      <t xml:space="preserve">Desde el proyecto Campamentos Juveniles en el periodo pasado se habían beneficiado (3.061) personas, en este periodo se beneficiaron (168) personas,  1.	En los encuentros intergeneracionales del Proyecto hemos alcanzado a beneficiar 726 personas asistentes (adolescentes y jóvenes), de los cuales 445 se han inscrito en la plataforma de google Drive. 
Del presente periodo (mayo/junio) correspondiente  63 Beneficiados     Mujeres 29     Hombre 34 . 2.	En la realización de Escuela para Padres (2) se beneficiaron 30 personas.  Del presente periodo (mayo/junio) corresponden  30 Beneficiados	 Mujeres 25     Hombre 5 3.	En la realización de Camping por Naturaleza se beneficiaron 75 personas.          Del presente periodo (mayo/junio) corresponden    75 Beneficiados	Mujeres 33    Hombre 42. Como mecanismos que garanticen el desarrollo de actividades de integración para el aprovechamiento del tiempo libre se implementan las estrategias:
En el período comprendido entre el 21 de mayo al 21 de junio se realizaron (12) actividades en diferentes comunidades del Distrito de Cartagena. </t>
    </r>
    <r>
      <rPr>
        <b/>
        <sz val="18"/>
        <color theme="1"/>
        <rFont val="Calibri"/>
        <family val="2"/>
        <scheme val="minor"/>
      </rPr>
      <t xml:space="preserve">(Aprovechamiento del Tiempo Libre)  </t>
    </r>
    <r>
      <rPr>
        <sz val="18"/>
        <color theme="1"/>
        <rFont val="Calibri"/>
        <family val="2"/>
        <scheme val="minor"/>
      </rPr>
      <t xml:space="preserve">Beneficiados 2915       Masculino 1172       Femenino 1743.
.
(345)        Beneficiarios en 4 Recréate en tu barrio       Mujeres 192         Hombres   153
(192)        Beneficiados en 2 Playas Recreativas          Mujeres   99         Hombres     93
(183)        Beneficiados en 3 Eventos de Alcaldía         Mujeres 108         Hombres     75
(2.143)     Beneficiados en 2 Ciclo vía Dominical          Mujeres 1305       Hombres   838
(52)          Beneficiados en 1 Recréate en l Parque       Mujeres 39           Hombres     13
Se pasó de 10.431 beneficiados a un acumulado total actual: (13.346)	
Cartagena se postula como sede del encuentro región caribe donde participan campistas de 10 territorios, se envió la propuesta técnica al Ministerio del Deporte, nos encontramos a esperas de la respuesta para concretar fecha de realización </t>
    </r>
  </si>
  <si>
    <r>
      <t xml:space="preserve">CARTAGENA ES DE LOS NIÑOS : </t>
    </r>
    <r>
      <rPr>
        <sz val="16"/>
        <color theme="1"/>
        <rFont val="Calibri"/>
        <family val="2"/>
        <scheme val="minor"/>
      </rPr>
      <t xml:space="preserve">Se realizaron (12) jornadas recreativas en lo correspondiente al periodo del 21 de junio al 20 de julio. Beneficiando (2.529)    Mujeres (1319)    Hombres (1210) en las diferentes Instituciones Educativas del Distrito. Se pasó de (10855) a (13.384) acumulado total del periodo. </t>
    </r>
    <r>
      <rPr>
        <b/>
        <u/>
        <sz val="16"/>
        <color theme="1"/>
        <rFont val="Calibri"/>
        <family val="2"/>
        <scheme val="minor"/>
      </rPr>
      <t>PERSONA MAYOR:</t>
    </r>
    <r>
      <rPr>
        <sz val="16"/>
        <color theme="1"/>
        <rFont val="Calibri"/>
        <family val="2"/>
        <scheme val="minor"/>
      </rPr>
      <t xml:space="preserve"> Se da cumplimiento a la estrategia   realizando en este periodo (6) jornadas en los diferentes Centros de Vida. Se han Beneficiado (247) personas   a través de diferentes acciones como los talleres creativos, asesoría de hábitos y estilos de vida saludable, jornadas recreativas y tamizaje en las tres localidades Beneficiando (247)     Mujeres (166)        Hombres (81)  Se pasó de (3191) impactados a (3438) personas mayores Beneficiados, </t>
    </r>
    <r>
      <rPr>
        <b/>
        <sz val="16"/>
        <color theme="1"/>
        <rFont val="Calibri"/>
        <family val="2"/>
        <scheme val="minor"/>
      </rPr>
      <t>ESCUELA RECREATIVA: •</t>
    </r>
    <r>
      <rPr>
        <sz val="16"/>
        <color theme="1"/>
        <rFont val="Calibri"/>
        <family val="2"/>
        <scheme val="minor"/>
      </rPr>
      <t xml:space="preserve">	Se desarrollaron sesiones lúdicas permanentes donde se crean espacios diseñados para la satisfacción, disfrute y goce de actividades propias de la primera infancia basadas en las actividades rectoras (arte, juego, literatura y exploración del entorno) desarrollando estas en hogares comunitarios y CDI de las 3 localidades del distrito de Cartagena.. • Se realizaron 3 escuelas para padres donde se dictaron talleres de nutrición para la sensibilización en la alimentación saludable de los niños, lideradas por nuestro equipo interdisciplinario dirigida a cuidadores, agentes educativas y madres comunitarias del distrito de Cartagena.• Se llevaron a cabo 2 carnavales lúdicos donde se realizaron actividades recreativas para que las desarrollen padres e hijos con el fin de fortalecer lazos afectivos y brindar pautas de crianza positiva a través del juego. •Se adelantaron 11 talleres de estimulación temprana con el fin de brindar a las madres gestantes y lactantes un programa de psicoprofilaxis, que propician el mejoramiento de su calidad de vida, con técnicas de estimulación temprana, ejercicios de higiene postural, ejercicios prenatales y postnatales, de respiración y circulación, manualidades, apoyo psicosocial y nutricional, para el desarrollo integro de los niños y madres gestantes y lactantes del distrito de Cartagena.    • Se desarrollarlo 1 estaciones recreativas donde se realizaron diferentes actividades recreativas como circuitos de traslado de pelotas, juegos de destreza en el cual se afianza el trabajo en equipo, juegos pre deportivos y de expresión artística para la integración de la comunidad en CDI y hogares comunitarios de Cartagena. Desde la estrategia Escuela Recreativa en el periodo pasado se beneficiaron 10.242 personas, en este período (21 de junio al 20 de julio) se realizaron un total de 17 actividades, beneficiando 1259 personas. Las sesiones permanentes se amplió la cobertura a 2446 para un total acumulado a la fecha 11.501. En este periodo se realizaron 10 jornadas Recreativas beneficiando 421 niños en los diferentes barrios 
Se dio avances a (5) Vacaciones Recreativas impactando 284 niños de las diferentes comunidades y zona rural para un total de 705 
Beneficiados (705)    Mujeres. (363)    Hombres (342)
Se pasó de (4.255) Beneficiados a (4.960) acumulado del periodo.
(2446) Beneficiados Sesiones lúdicas permantes:                           Mujeres:1233          Hombres:1213
(84)    Niños nuevos ampliando la cobertura                                     Mujeres:40              Hombres: 44
(388)   Beneficiados Escuelas para padres                                        Mujeres: 283            Hombres: 105
(363)   Beneficiados Carnavales Lúdicos                                           Mujeres: 254            Hombres: 109
(440)   Beneficiados Estimulación Temprana                                    Mujeres: 382            Hombres: 58
(68)     Beneficiados Estaciones Recreativas                                     Mujeres: 54              Hombres: 14                                 
Total, Acumulado 21 de Junio al 20 de Julio:  1343                           Mujeres: 1013            Hombres: 330
Se pasó de (10.242) Beneficiados a (11.585).                                                                                                  
</t>
    </r>
    <r>
      <rPr>
        <b/>
        <u/>
        <sz val="16"/>
        <color theme="1"/>
        <rFont val="Calibri"/>
        <family val="2"/>
        <scheme val="minor"/>
      </rPr>
      <t xml:space="preserve">CAMPAMENTOS JUVENILES: </t>
    </r>
    <r>
      <rPr>
        <sz val="16"/>
        <color theme="1"/>
        <rFont val="Calibri"/>
        <family val="2"/>
        <scheme val="minor"/>
      </rPr>
      <t>1.En el periodo comprendido del 21 de junio al 20 de julio en los encuentros intergeneracionales del Proyecto hemos alcanzado a beneficiar 726 personas asistentes (adolescentes y jóvenes), de los cuales 455 se han inscrito en la plataforma de google Drive.
                       del presente periodo se beneficiaron                           (10) personas
                     2.   Se realizó (1) Escuela para padres   Beneficiando  (15) personas
       3.  se realizó un Camping por Naturaleza Beneficiando (71) personas
                      Se pasó de (3.229) impactados a (3.325)
Cartagena se postula como sede del encuentro región caribe donde participan campistas de 10 territorios, se envió la propuesta técnica al Ministerio del Deporte, nos encontramos a esperas de la respuesta para concretar fecha de realización .</t>
    </r>
    <r>
      <rPr>
        <b/>
        <sz val="16"/>
        <color theme="1"/>
        <rFont val="Calibri"/>
        <family val="2"/>
        <scheme val="minor"/>
      </rPr>
      <t xml:space="preserve"> APROVECHAMIENTO DEL ESPACIO PÚBLICO: </t>
    </r>
    <r>
      <rPr>
        <sz val="16"/>
        <color theme="1"/>
        <rFont val="Calibri"/>
        <family val="2"/>
        <scheme val="minor"/>
      </rPr>
      <t xml:space="preserve">Debido al protocolo para el  el permiso  de secretaria del interior de eventos en el espacio público, se vio afectado el cumplimiento del indicador de Ciclovías Barriales, por qué para realizarlas se le solicita a las comunidades el pago de una póliza de responsabilidad civil, la cual tiene un valor económico y algunas comunidades no tienen como pagar,  estamos hablando con las juntas de acción comunal que solicitan   Ciclovías para sensibilizar y entiendan la importancia de tener todos los documentos para que se puedan realizar las actividades en estos espacios. Se realizó (1) oferta institucional Beneficiando 63 personas Mujeres: (34 )     Hombres (29).  1 –En el periodo comprendido del 21 de junio al 20 de julio se realizaron (2) Talleres recreativos dirigidos a las instituciones educativas.
-En este periodo se dio inicio al tercer semillero de recreación comunitaria dirigido a jóvenes y adultos del Distrito de Cartagena logrando captar un total de 85 personas inscritas, entre ellas participan 44 mujeres y 41 hombres. 
Se logra alcanzar en el periodo un total de:
 Beneficiados (145)      Mujeres (76)   Hombres (69).
</t>
    </r>
  </si>
  <si>
    <r>
      <t>VACACIONES RECREATIVAS :S</t>
    </r>
    <r>
      <rPr>
        <sz val="16"/>
        <color theme="1"/>
        <rFont val="Calibri"/>
        <family val="2"/>
        <scheme val="minor"/>
      </rPr>
      <t>e desarrolló la estrategia en este periodo realizando 11 jornadas recreativas en el Distrito de Cartagena, adelantando acciones como lo son: Jornadas de Recreación en distintos barrios y sitios de interés de nuestra ciudad e integrando a la población de las zonas rurales, de esta manera se logró realizar: 10 - Jornadas recreativas - Beneficiados: 1020 – Mujeres: 560         Hombres: 460 2 - Vacaciones recreativas - Beneficiados: 472 – Mujeres: 302         Hombres: 170 Para alcanzar (1492) personas participantes, las cuales (862) fueron Mujeres y (630) Hombres.  Se pasando de (4.960) beneficiados para un acumulado de (6452).</t>
    </r>
    <r>
      <rPr>
        <b/>
        <u/>
        <sz val="16"/>
        <color theme="1"/>
        <rFont val="Calibri"/>
        <family val="2"/>
        <scheme val="minor"/>
      </rPr>
      <t xml:space="preserve">CARTAGENA ES DE LOS NIÑOS: </t>
    </r>
    <r>
      <rPr>
        <sz val="16"/>
        <color theme="1"/>
        <rFont val="Calibri"/>
        <family val="2"/>
        <scheme val="minor"/>
      </rPr>
      <t xml:space="preserve">Para darle cumplimento al desarrollo de esta meta coincidiendo con el marco de tiempo que va desde el 21 julio hasta el 20 de agosto, se realizaron (15) jornadas recreativas en diferentes instituciones educativas del Distrito de Cartagena y recorridos en distintos sitios de interés de nuestra ciudad, llevando nuestra oferta de servicio se realizaron:  14- Jornadas recreativas en instituciones educativas - Beneficiados: 2347 – Mujeres: 1209  .  Hombres: 1138. 1 – Cartagena es de los niños y niñas - Beneficiados: 167    – Mujeres: 101  ,Hombres: 66. </t>
    </r>
    <r>
      <rPr>
        <b/>
        <u/>
        <sz val="16"/>
        <color theme="1"/>
        <rFont val="Calibri"/>
        <family val="2"/>
        <scheme val="minor"/>
      </rPr>
      <t xml:space="preserve"> L</t>
    </r>
    <r>
      <rPr>
        <sz val="16"/>
        <color theme="1"/>
        <rFont val="Calibri"/>
        <family val="2"/>
        <scheme val="minor"/>
      </rPr>
      <t>ogramos beneficiar (2.514) personas, de las cuales (1.310) mujeres (1204) hombres.El total acumulado del período aumentó de (13.384) a (15.898).</t>
    </r>
    <r>
      <rPr>
        <b/>
        <u/>
        <sz val="16"/>
        <color theme="1"/>
        <rFont val="Calibri"/>
        <family val="2"/>
        <scheme val="minor"/>
      </rPr>
      <t xml:space="preserve"> PERSONA MAYOR</t>
    </r>
    <r>
      <rPr>
        <sz val="16"/>
        <color theme="1"/>
        <rFont val="Calibri"/>
        <family val="2"/>
        <scheme val="minor"/>
      </rPr>
      <t>:En este periodo se dio cumplimiento a este indicador realizando 3 jornadas dirigidas al adulto mayor a través de las diferentes acciones como lo son: talleres creativos, asesoría de hábitos y estilos de vida saludable, movilidad articular, jornadas recreativas y tamizaje en las tres localidades. Donde se beneficiaron: (126) personas    (77) mujeres  , (49) hombres, Pasando de (3.438) impactados a un total de (3.564) personas mayores beneficiadas.</t>
    </r>
    <r>
      <rPr>
        <b/>
        <u/>
        <sz val="16"/>
        <color theme="1"/>
        <rFont val="Calibri"/>
        <family val="2"/>
        <scheme val="minor"/>
      </rPr>
      <t xml:space="preserve"> ESCUELA RECREATIVA</t>
    </r>
    <r>
      <rPr>
        <sz val="16"/>
        <color theme="1"/>
        <rFont val="Calibri"/>
        <family val="2"/>
        <scheme val="minor"/>
      </rPr>
      <t xml:space="preserve">: Desde la estrategia Escuela Recreativa en el periodo pasado se beneficiaron 11.585 personas, en este período (21 de julio al 20 de agosto) se realizaron un total de 25 actividades, beneficiando 2.363 personas. Las sesiones permanentes se mantuvo la cobertura en 2.446 para un total acumulado a la fecha 13.948 
(2446) Beneficiados Sesiones Lúdicas Permanentes:     Mujeres: 1233   , Hombres: 1213, (215)  Beneficiados Escuela para Padres,     Mujeres: 181 ,    Hombres: 34
(48)    Beneficiados Talleres de Elaboración de Juguete                    Mujeres: 48             Hombres: 0
(252)  Beneficiados Estimulación Temprana                                        Mujeres: 226           Hombres: 26
(281)  Beneficiados Estaciones Recreativas                                        Mujeres: 145           Hombres: 136                               
(682)  Beneficiados Campaña de la Salud Primera Infancia               Mujeres: 390           Hombres: 292
(885)  Beneficiados Campaña de la lactancia Materna                        Mujeres: 644           Hombres: 241
Total, Acumulado 21 de Julio al 20 de agosto: 
 2.363 beneficiados                  Mujeres: 1.634        Hombres: 729 . </t>
    </r>
    <r>
      <rPr>
        <b/>
        <u/>
        <sz val="16"/>
        <color theme="1"/>
        <rFont val="Calibri"/>
        <family val="2"/>
        <scheme val="minor"/>
      </rPr>
      <t>CAMPAMENTOS JUVENISLES::</t>
    </r>
    <r>
      <rPr>
        <sz val="16"/>
        <color theme="1"/>
        <rFont val="Calibri"/>
        <family val="2"/>
        <scheme val="minor"/>
      </rPr>
      <t xml:space="preserve">1	En los encuentros intergeneracionales del Proyecto hemos alcanzado a beneficiar 726 personas asistentes (adolescentes y jóvenes), de los cuales 467 se han inscrito en la plataforma de google Drive. 
a-	del presente periodo (julio/agosto) corresponden 	 (12)
2-	En la realización de Escuela para Padres (3)
a-	del presente periodo (julio/agosto) corresponden         (51)	
  Se pasó de (3.325) impactados a (3.388). Cartagena se postula como sede del encuentro región caribe donde participan campistas de 10 territorios, se envió la propuesta técnica al Ministerio del Deporte, nos encontramos a esperas de la respuesta para concretar fecha de realización.  </t>
    </r>
    <r>
      <rPr>
        <b/>
        <u/>
        <sz val="16"/>
        <color theme="1"/>
        <rFont val="Calibri"/>
        <family val="2"/>
        <scheme val="minor"/>
      </rPr>
      <t xml:space="preserve">
</t>
    </r>
  </si>
  <si>
    <t xml:space="preserve">Se da cumplimento a las estrategias en este periodo, adelantando las acciones: “Jornadas de Recreación y vacaciones recreativas” en distintos barrios y sitios de interés de nuestra ciudad e integrando a la población de las zonas rurales. (3) Jornadas recreativas -        Beneficiados: 84    Mujeres: 54      Hombres: 30, (4) vacaciones Recreativas     Beneficiados: 473    Mujeres: 273        Hombres: 200. Para un alcance (557) personas participantes, las cuales (327) fueron Mujeres y (230) Hombres. Se pasó de (7.231) beneficiados para un acumulado de (7788).Para darle cumplimento al desarrollo de esta meta coincidiendo con el marco de tiempo que va desde el 21 de septiembre  hasta el 20 de octubre, se realizaron (11) jornadas recreativas en diferentes instituciones educativas del Distrito de Cartagena y recorridos en distintos sitios de interés de nuestra ciudad, llevando nuestra oferta de servicio se realizaron: 7 Jornadas recreativas en instituciones educativas - Beneficiados: 1247 – Mujeres: 793        Hombres: 768 4 Talleres recreativos en instituciones educativas   - Beneficiados: 414   – Mujeres: 186         Hombres: 228.  Logramos beneficiar (1.975) personas, de las cuales (979) mujeres (996) hombres. El total acumulado del período aumentó de (17.222) a (19.197).En este periodo se dio cumplimiento a este indicador realizando 4 jornadas dirigidas al adulto mayor a través de las diferentes acciones como lo son: talleres creativos, asesoría de hábitos y estilos de vida saludable, movilidad articular, jornadas recreativas, tamizaje y se realizó la campaña “recordar es vivir activa tu mente “estas acciones se efectuaron en las tres localidades y sus corregimientos, donde se beneficiaron: Beneficiados (220)    Mujeres (88)        Hombres (132)  Pasando de (4.721) impactados a un total de (4.941) personas mayores beneficiadas.Desde la estrategia Escuela Recreativa en el periodo pasado se beneficiaron 16.400. Personas, en este período (21 de septiembre al 20 de octubre) se realizaron un total de 12 actividades, beneficiando 524 personas. Las sesiones permanentes se mantuvieron la cobertura en 2.446 para un total de acumulado a la fecha 16.924 .  Se pasó de (3.413) impactados a (3.495)
1.	En los encuentros intergeneracionales del Proyecto hemos alcanzado a beneficiar 726 personas asistentes (adolescentes y jóvenes), de los cuales 501 se han inscrito en la plataforma de google Drive. 
a.	del presente periodo (septiembre/octubre) corresponden 	 		     	14
2.	En la realización de Escuela para Padres (1)
a.	del presente periodo (septiembre/octubre) corresponden 				38
3.	En la realización del Campamento Nacional (1)
a.	del presente periodo (septiembre/octubre) corresponden				30	
A la fecha se viene trabajando en la realización del Encuentro Región Caribe “Caribe Joven - Fortaleciendo Nuestra Herencia”, que se realizará del 25 al 27 de octubre de 2023.
Se vienen realizando censos para la realización de Ángeles Somos, el día 1 de noviembre, donde realizaremos 27 sancochos, para beneficiar a más de 2.700 personas.
</t>
  </si>
  <si>
    <t>2.1.2 Desarrollar la estrategia "Cartagena es de los niños y niñas"</t>
  </si>
  <si>
    <t xml:space="preserve">Contratatación de prestación de servicios profesionale y/o de apoyo a la gestión del equipo de trabajo que ejecutará las actividades del proyecto
Servicio de Transporte Terrestre
Servicio de operación logística a través de Secop II , bolsa mercantil y tienda virtual </t>
  </si>
  <si>
    <t xml:space="preserve">Contratación directa- Selecciòn abreviada a través de bolsa mercantil y acuerdo marco </t>
  </si>
  <si>
    <t>2.1.3 Desarrollar la estrategia "Persona Mayor - Un nuevo comienzo"</t>
  </si>
  <si>
    <t>2.1.4 Desarrollar la estrategia "Escuela Recreativa"</t>
  </si>
  <si>
    <t>2.1.7 Divulgar las acciones y actividades desarrolladas en el proyecto</t>
  </si>
  <si>
    <t xml:space="preserve">Contratatación de prestación de servicios profesionale y/o de apoyo a la gestión del equipo de trabajo que ejecutará las actividades del proyecto
Servicio de Impresos para estrategia comuncacional
Servicios de Marketing digital a través de Secop II </t>
  </si>
  <si>
    <t xml:space="preserve">Contratación directa- Selecciòn abreviada  </t>
  </si>
  <si>
    <t>2.1.5 Desarrollar la estrategia "Campamentos juveniles"</t>
  </si>
  <si>
    <t>Contratatación de prestación de servicios profesionale y/o de apoyo a la gestión del equipo de trabajo que ejecutará las actividades del proyecto
Servicios de Operación Logística</t>
  </si>
  <si>
    <t>Recursos Propios
SGP</t>
  </si>
  <si>
    <t>Número de asistentes a los eventos de recreación de carácter local, nacional e internacional realizados y/o apoyados</t>
  </si>
  <si>
    <t>Se incrementarán a 22.999 los asistentes a los eventos de recreación comunitaria dirigidos a todas las edades</t>
  </si>
  <si>
    <t>2.1.6 Desarrollar actividades de integración para el aprovechamiento del espacio
público</t>
  </si>
  <si>
    <t>Contratatación de prestación de servicios profesionale y/o de apoyo a la gestión del equipo de trabajo que ejecutará las actividades del proyecto
Servicio de Transporte Terrestre
Servicio de operación logística</t>
  </si>
  <si>
    <t xml:space="preserve">	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t>
  </si>
  <si>
    <t>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 En  el período comprendido entre el 21 de abril al 20 de mayo  se realizó 1 evento de ciudad en el del Distrito de Cartagena.</t>
  </si>
  <si>
    <t xml:space="preserve">Apoyamos en (3) eventos de Alcaldía llamados “Salvemos Juntos a Cartagena” con nuestra oferta institucional.  Beneficiando 183      Hombres 75       Mujeres. 413. 
</t>
  </si>
  <si>
    <t>En el período comprendido entre el 21 de junio al 20 de julio se realizaron (12) actividades en diferentes comunidades del Distrito de Cartagena. 
Beneficiados (2.022)       Masculino (815)   Femenino (1.207)
.
 (270)        Beneficiarios en 4 Recréate en tu barrio         Mujeres (125)          Hombres (145)
 (71)          Beneficiando en (1) Plogging                           Mujeres (46)            Hombres (25)
 (63)          Beneficiados en (1) Estación Recreativa         Mujeres (34)            Hombres (29)
 (1.310)     Beneficiados en 2 Ciclo vía Dominical             Mujeres (819)          Hombres (491)
 (308)        Beneficiados en (6) Recréate en Parque         Mujeres (183)          Hombres (125)
Se pasó de 13.346 beneficiados a un acumulado total actual: (15.368)</t>
  </si>
  <si>
    <t xml:space="preserve">Nos encontramos a la espera de cerrar la rueda de negociación con la bolsa mercantil colombiana BMC, quien a través de un operador suministrara la logística y producción necesaria para el desarrollo de las estrategias     Durante este periodo realizamos (4) eventos de ciudad con un total de Beneficiados de: (2.292) 
- Se ejecutaron (2) Ciclovía dominical de ciudad (VAS) el 23 de julio - se trabajó con la temática campista de corazón con un total de
  (605) Beneficiados      Masculino 200        Femenino 405.
- 13 de agosto- Ciclovía dominical de ciudad (VAS) bajo la temática de “corre por tu mascota “participando 
(724) personas           Masculino 139       Femenino 585.
-Se ejecutaron (2) festivales de cometas en el Malecón de Crespo y las Tenazas 
 Beneficiados 1329      Masculino 339          Femenino 990
 Se pasó de 9 eventos de Ciudad con 8.031 personas participantes a 11 eventos con 9.360 beneficiados acumulados (1329) personas Beneficiada
Beneficiando (963) personas     Masculino (519)        Femenino (123) 
</t>
  </si>
  <si>
    <t xml:space="preserve">Durante este periodo comprendido 21 de septiembre al 20 de octubre realizamos (3) eventos de ciudad con un total de (2.923) Personas Beneficiados  
Entre los eventos realizados tenemos 
(2) Ciclovía dominical de ciudad (VAS)
24 de septiembre- Ciclovía dominical de ciudad (VAS) bajo el temático abrazaton- campaña por la prevención del suicidio, logrando beneficiar a                      (611) personas -     Mujeres (381)          -      hombres (230) 
08 de octubre- Ciclovía dominical de ciudad (VAS) bajo la temática salud mental – mes rosa, logrando beneficiar a                                                                  (1.210) personas -     Mujeres (712)          -      hombres (498) 
 (1) Tercera Caminata Rosa 
15 de octubre – en el barrio Ternera – avenida pedro de Heredia – Personas beneficiadas (1600) – Mujeres (1.438) – Hombres (162)
Se pasó de (17) eventos de Ciudad con (11.108) personas participantes a 20 eventos con (14.529) beneficiados acumulados a la fecha.
</t>
  </si>
  <si>
    <t xml:space="preserve">Número de eventos de recreación de carácter local, nacional e internacional realizados y/o apoyados </t>
  </si>
  <si>
    <t xml:space="preserve">Se realizarán 17 eventos de recreación comunitaria dirigidos a todas las edades </t>
  </si>
  <si>
    <t>1.1.1 Realizar campañas de divulgación asociadas a la recreación</t>
  </si>
  <si>
    <t>En el mes de  febrero de 2023, no se llevaron a cabo eventos de ciudad.</t>
  </si>
  <si>
    <t xml:space="preserve">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
</t>
  </si>
  <si>
    <t>Se realizaron en este perido 3 eventos, los fueron los siguientes : BR60 Realizamos (2) ciclovías dominicales de ciudad (VAS), la primera ciclovía dominical el día 26 de marzo en conmemoración al día de la mujer Beneficiando 1016  personas  masculino 380 y femenino 636.  la segunda ciclovia realizada el día 16 de abril acogiendo 1151 Beneficiados donde masculino 234 y femenino 917. en conmemoración al día mundial de la actividad física y semana de la bici. Para untotal de personas beneficiadas de 2.167 personas</t>
  </si>
  <si>
    <t>Se  pasó de 5 eventos de Ciudad con 4.578 personas participantes a 7 eventos de Ciudad con 6.721 beneficiados acumulados a la fecha.
21 mayo - Ciclovía dominical de ciudad (VAS) Beneficiados) (621)        Masculino 179       y      Femenino 442.
28 mayo - Ciclovía dominical de ciudad (VAS) Beneficiados (1522)      Masculino 659         y     Femenino 863.</t>
  </si>
  <si>
    <t>Durante el periodo del 21 de junio al 20 de julio se realizaron (2) Ciclovía dominical de ciudad VAS
Se pasó de 7 eventos de Ciudad con 6.721 personas participantes a 9 eventos de Ciudad con 8.031 beneficiados acumulados a la fecha.
25 junio- Ciclovía dominical de ciudad (VAS) se trabajó en la temática del medio ambiente y de la Bicicleta con un total de  
Beneficiados (620)        Masculino (251)       y      Femenino (369)
09 de julio - Ciclovía dominical de ciudad (VAS) bajo la temática de ciudades sostenibles participando
 Beneficiados (690)      Masculino (240)           Femenino (450)</t>
  </si>
  <si>
    <t>Se pasó de 9 eventos de Ciudad con un acumulado de 8.031 personas participantes a 13 eventos con 10.323 beneficiados acumulados a la fecha.</t>
  </si>
  <si>
    <t>1.1.2 Apoyar el desarrollo de actividades de recreación a nivel distrital</t>
  </si>
  <si>
    <t>Contratatación de prestación de servicios profesionale y/o de apoyo a la gestión del equipo de trabajo que ejecutará las actividades del proyecto
Servicio de Transporte Terrestre
Servicios de Operación logística</t>
  </si>
  <si>
    <t>1.La Carrera Rio de atletas en su 3ra versión "Por ti Mujer” se realizó el día 19 de marzo del 2023, beneficiando a 857 personas en donde 683 fueron mujeres y 174 hombres. 2.Ciclovía diurna Chiquinquirá adelantamos la primera de ciudad el día 19 de marzo del 2023, logrando beneficiar a 550 personas en donde 281 fueron mujeres y 269 fueron hombres.</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</si>
  <si>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</si>
  <si>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</si>
  <si>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</si>
  <si>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 xml:space="preserve">Documentos de investigación (Producto principal del proyecto) </t>
  </si>
  <si>
    <t xml:space="preserve">Gestión del Conocimiento </t>
  </si>
  <si>
    <t>Política Gestión del Conocimiento y la iInovación</t>
  </si>
  <si>
    <t xml:space="preserve">Consolidar una plataforma de generación y apropiación social de conocimiento, con el fin de orientar 
la gestión público-privada desde la perspectiva del Deporte, la Recreación, la Actividad Física y el 
Aprovechamiento del Tiempo Libre en el Distrito de Cartagena de Indias. </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</si>
  <si>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</si>
  <si>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</si>
  <si>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Producir y publicar artículos cientifico - historico asociados al sector deporte</t>
  </si>
  <si>
    <t>2.3.4302.1604.2021130010270</t>
  </si>
  <si>
    <t>Contratatación de prestación de servicios profesionale y/o de apoyo a la gestión del equipo de trabajo que ejecutará las actividades del proyecto
Logistica para trabajo de campo</t>
  </si>
  <si>
    <t>1. En este primer mes se realizo la contratación del personal para el desarrollo de las diferentes estrategias del programa .                                                                                                                                                                                                                                          2.Se trabajo en la realización de los análisis y presupuestos por cada una de las estrategias del programa, basados en los recursos disponibles para esta vigencia 2023.                                                                                   3.Se plantearon compromisos para el trabajo en equipo y responsabilidades, que fortalezcan el cumplimento de las metas establecidas en esta vigencia 2023.</t>
  </si>
  <si>
    <t>Entre el 1 y 15  de febrero de 2023 , se llevaron a cabo las siguientes actividades:                                                                                                                                                         1. Estructuración del plan de trabajo 2023 por componentes del proyecto: banco de datos, memoria 
histórica, semillero de investigación y gestión de alianzas y apropiación social del conocimiento. 
(Anexo 1)
2. Reuniones de planificación de plan de trabajo interno con dirección y de estrategias de cooperación
con universidades aliadas:
2.1. Presentación y validación del plan de trabajo 2023. (13 de febrero de 2023 de 10am – 12 m)
2.2. Reunión de trabajo IDER – USB (14 de febrero de 2023 de 9 – 11 am)
2.3. Reunión de trabajo IDER – SENA (15 de febrero de 2023 de 8 – 10 am)
2.4. Reunión de trabajo IDER – UMAYOR (15 de febrero de 2023 de 3 – 4 pm                                                                                                                                                                 3. Estructuración de plan de adquisiciones del proyecto (Anexo 2).
4. Definición del plan de apropiación social del conocimiento versión 1 (Anexo 3) .                                                                                                                                                En el período del 16 al 28 de febrero se planeó y organizó las mesas técnicas de la Pólitica Distrial del Deporte y la Recreación de Cartagena.</t>
  </si>
  <si>
    <t>Se encuentra en proceso de construcción la propuesta de investigación y sus productos asociados para publicaciones.</t>
  </si>
  <si>
    <t>Se encuentra en proceso de construcción la agenda de investigación y sus productos asociados para publicaciones.Se avanza en la consolidación de una agenda de investigación con las universidades y entidades aliadas: - Red de Observatorios de Derechos Humanos y Derecho Internacional Humanitario (RODHI): En la sesión del nodo Caribe celebrada en el día 26 de abril de 2023 se revisó la propuesta del informe de investigación donde el observatorio de ciencias aplicadas al deporte propuso analizar la relación entre la inseguridad y escenarios deportivos en el distrito de Cartagena y área metropolitana lo cual fue ratificado en dicha sesión. Asimismo, la próxima sesión del nodo Caribe será presencial donde la sede será el salón principal de Complejo de Raquetas contará con el consejero para derechos humanos y derecho internacional humanitario de la presidencia de la república. - Universidad San Buenaventura: El día 26 de abril de 2022 se sostuvo una reunión con Félix Pájaro director del programa de licenciatura en educación física, recreación y deporte con los docentes investigadores en las instalaciones de la Universidad San Buenaventura para lo cual se presentó que hacia el observatorio y metas que se encuentra inmerso en el plan de desarrollo “Salvemos Juntos a Cartagena”. En ese sentido, se identificó varios proyectos a desarrollar en conjunto con el IDER para lo cual estamos a la espera de la remisión de la universidad para su revisión y aprobación. - Institución Universitaria Mayor de Cartagena: El día 24 de abril de 2023 se sostuvo una reunión en las instalaciones del Coliseo Gimnasio Chico de Hierro con la docente e investigadora Giobanna Buenahora y la vicerrectora de bienestar Sindy Vásquez donde se llegaron varios compromisos donde la universidad enviara un calendario de eventos académicos para realización en el segundo semestre del año. Asimismo, se envió de una propuesta concreta entorno a las
cartillas pedagógicas de la escuela de iniciación y formación deportiva (EIFD) para iniciar el proyecto de investigación, así como las piezas de memoria histórica. Asimismo, realizar la convocatoria para la entrega de las becas entregadas en el convenio. - Corporación Real Star- Barú: El día 28 de abril de 2023 se reunió con los representantes para definir el plan de trabajo para sistematización de las experiencias que tiene dicha entidad en el corregimiento de Barú por medio de sus escuelas de formación entorno deporte y recreación para poder generar un documento científico.</t>
  </si>
  <si>
    <t>Se avanza en la consolidación de una agenda de investigación con las universidades y entidades aliadas:
- Red de Observatorios de Derechos Humanos y Derecho Internacional Humanitario (RODHI): En la sesión del nodo Caribe celebrada en el día 26 de abril de 2023 se revisó la propuesta del informe de investigación donde el observatorio de ciencias aplicadas al deporte propuso analizar la relación entre la inseguridad  y escenarios deportivos en el distrito de Cartagena y área metropolitana lo cual fue ratificado en dicha sesión. Asimismo, la próxima sesión del nodo Caribe será
INSTITUTO DISTRITAL DE DEPORTE Y RECREACIÓN Proceso: Planeación Código: ESPLOFPIT - 01 Documento: Instructivo Informe de Gestión Cualitativo de Proyecto de Inversión Versión: 1.0  presencial donde la sede será el salón principal de Complejo de Raquetas contará con el consejero para derechos humanos y derecho internacional humanitario de la presidencia de la república.- Universidad San Buenaventura: El día 26 de abril de 2022 se sostuvo una reunión con Félix Pájaro director del programa de licenciatura en educación física, recreación y deporte con los docentes investigadores en las instalaciones de la Universidad San Buenaventura para lo cual se presentó que hacia el observatorio y metas que se encuentra inmerso en el plan de desarrollo “Salvemos Juntos a Cartagena”. En ese sentido, se identificó varios proyectos a desarrollar en conjunto con el IDER para lo cual estamos a la espera de la remisión de la universidad para su revisión y aprobación. 
- Institución Universitaria Mayor de Cartagena: El día 24 de abril de 2023 se sostuvo una reunión en las instalaciones del Coliseo Gimnasio Chico de Hierro con la docente e investigadora Giobanna Buenahora y la vicerrectora de bienestar Sindy Vásquez donde se llegaron varios compromisos donde la universidad enviara un calendario de eventos académicos para realización en el segundo semestre del año. Asimismo, se envió de una propuesta concreta entorno a las cartillas pedagógicas de la escuela de iniciación y formación deportiva (EIFD) para iniciar el proyecto de investigación, así como las piezas de memoria histórica.
Asimismo, realizar la convocatoria para la entrega de las becas entregadas en el convenio.
- Corporación Real Star- Barú: El día 28 de abril de 2023 se reunió con los representantes para definir el plan de trabajo para sistematización de las experiencias
que tiene dicha entidad en el corregimiento de Barú por medio de sus escuelas de formación entorno deporte y recreación para poder generar un documento científico.</t>
  </si>
  <si>
    <t>Se avanza en la consolidación de una agenda de investigación con las universidades y entidades aliadas:
- Realización de propuesta de trabajo sobre la reconstrucción de la memoria histórica del Bate tapita en Cartagena. Esta incluye revisión documental sobre noticias.
de esta práctica tradicional en Cartagena y el Caribe colombiano. (Anexo 4)
- Diseño preliminar de instrumentos para la aplicación en el marco de la ejecución de la propuesta sobre memoria histórica de Bate tapita en Cartagena. (Anexo
4).                                                                                                                                                                                  - Se consolidó el diagnóstico de los registros administrativos de inscripción a los juegos Intercolegiados y formato de inscripción a la convocatoria de PADAL y
PAFID. (Anexo 2)
- Gestión y seguimiento a la compra del equipo de cómputo con la oficina asesora jurídica (Anexo 3)</t>
  </si>
  <si>
    <t>Validación de la propuesta de trabajo del proyecto de caracterización de la actividad predeportiva comunitaria del bate tapita (Anexo 5)</t>
  </si>
  <si>
    <t>0.5 - Este valor de la meta corresponde al documento diagnóstico participativo de la política pública deporte y recreación que fue aprobado en el mes agosto y se publico en el micrositio de la política pública deporte y recreación. Link: https://ider.gov.co/pddr-2/2-etapa-de-agenda-publica/</t>
  </si>
  <si>
    <t>- Se publica el Diagnostico Participativo de la Política Distrital de Deporte y Recreación – PDDR https://ider.gov.co/wp-content/uploads/2023/08/DiagnosticoPDDR-V5-FINAL.pdf</t>
  </si>
  <si>
    <t xml:space="preserve">Se encuentra en elaboración el documento de formulación de la PDDR y sus respectivos plan de acción y productos/resultados. </t>
  </si>
  <si>
    <t>Número de personas con apropiación social de conocimiento.</t>
  </si>
  <si>
    <t>Se incrementará a 16.720 personas con apropiación social de conocimiento</t>
  </si>
  <si>
    <t>Producción y difusión de mensajes de radio
 Marketing digital 
Presentaciones institucionales a través de Secop II</t>
  </si>
  <si>
    <t xml:space="preserve">Selecciòn abreviada de menor cuantía </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</si>
  <si>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 - Se avanzó en el plan de apropiación social con dos capacitaciones en temas de investigación aplicada a un grupo especifico de ciudadanos, colaboradores y contratistas del IDER sobre “Semilleros de formadores en cultura ciudadana” (49 personas) e “Introducción a la investigación formativa y aplicada” (54 personas). (Anexo 2 y 3))</t>
  </si>
  <si>
    <t>Se avanzó en el plan de apropiación social con tres capacitaciones: 2 asociadas al “Semilleros de formadores en cultura ciudadana” realizadas el 19 y 26 de abril de 2023 con una asistencia de 72 personas. (Anexo 1 y 2) y 1 capacitación sobre “Introducción a la Planificación del Entrenamiento Deportivo” realizada el 19 de abril de 2023 con una asistencia de 17 personas (Anexo 3).</t>
  </si>
  <si>
    <t>En el mes de mayo, se avanzó en el plan de apropiación social con 2 capacitaciones asociadas al “Semilleros de formadores en cultura ciudadana” realizadas el 3 y
10 de mayo de 2023 con una asistencia de 72 personas. (Anexo 1 y 2), 1 capacitación sobre “Modo de saber y hacer en la recreación, Entrenamiento deportivo y la
actividad física” realizada el 24 de mayo de 2023 con una asistencia de 230 personas (Anexo 3) y el Taller de experiencias vivenciales – Cierre semillero el 29 de
mayo de 2023 con una asistencia de 163 personas (Anexo 4)
- Se avanza en la consolidación de las mesas de formulación de la Política Distrital de Deporte y Recreación – PDDR, donde se vincularan diferentes actores articulados
al Sistema Distrital del Deporte y otros actores con competencias sobre los elementos esenciales de la PDDR.   - Elaboración de la sección del Sistema de Información Deporte y Recreación (SIDR) en la página web del Instituto Distrital de Deporte y Recreación después de la
reunión realizada con el jefe de la oficina de sistemas (Anexo 5)
- Justificación de la adquisición del equipo de cómputo para el almacenamiento, gestión, administración y análisis de los datos que se albergaran en el Sistema de
Información Deporte y Recreación debido a la directriz de la dirección general (Anexo 6)</t>
  </si>
  <si>
    <t>En el mes de junio, se avanzó en el plan de apropiación social con 1 capacitación asociada al convenio de cooperación entre el IDER y UMAYOR que llevó por título “La salud física tan importante como la salud mental: Conecta con tus emociones” realizada el 22 de junio de 2023 con una asistencia de 15 personas (Anexo 1).</t>
  </si>
  <si>
    <t>En el mes de julio, se avanzó Se presento propuesta ante la oficina jurídica con los requerimientos técnicos de los eventos académicos incluyendo el presupuesto
de los mismo con el fin de desarrollar las actividades establecidas en el programa, apuntadas al cumplimento de las metas del plan de acción.
(https://1drv.ms/x/s!Ar-Z3sYP5PZ94C30xcZ1OgdULYz-?e=RNAWeK)
- En el marco de los eventos académicos de circulación especializada del conocimiento, se elaboraron los documentos: estudios previos (Anexo 1) y anexo técnico
(Anexo 2). Igualmente, se enviaron las solicitudes de cotización a las universidades de la ciudad para poder estructurar el estudio de mercado (Anexo 3).Para el mes de julio, la población vinculada a los procesos de apropiación mantiene la distribución del mes anterior:
o 58,2% Hombres – 41,8% Mujeres
o 47,6% Sin ninguna pertenencia étnica, 46,8% Negro(a), Mulato(a), Afrodescendiente, Afrocolombiano(a), 1,1% Indígena y 1,3% Gitano-ROM, 1,8%
Palenqueros y 1,4% Raizales.</t>
  </si>
  <si>
    <t xml:space="preserve">En el mes de agosto se avanzó con las primeras cuatro mesas de formulación de la Política Distrital de Deporte y Recreación – PDDR, en las cuales se convocaron a las distintas dependencias del distrito (del orden central y descentralizadas). En estas participaron 36 hombres y 31 mujeres, para un total de 67 personas y un incremento en el indicador de 1,7%. (Política Distrital de Deporte y Recreación -PDDR(1-85).xlsx). Se desarrolló la mesa de formación y capacitación del proceso de formulación de la PDDR con los jefes de área y el personal de acompañamiento de las mesas de trabajo.
Se realizó el estudio de mercado del proceso de eventos académicos para evaluar los requerimientos y se espera poder iniciar el proceso durante el mes de septiembre.
</t>
  </si>
  <si>
    <t>Durante el mes de septiembre de 2023 se desarrollaron las ultimas 3 mesas externas de formulación de la Política Distrital de Deporte y Recreación – PDDR, asociadas a temas de deporte y recreación, movilidad activa e infraestructura con diferentes dependencias de la Alcaldía Distrital y otros actores del Sistema Distrital de Deporte – SDD. Igualmente, se avanzó en el desarrollo de las 4 mesas internas de formulación bajo los enfoques: legal-normativo, Misional operativo,financiero e infraestructura. (Anexo 1) - En total participaron de este proceso de socialización del diagnóstico participativo y de formulación de productos 81 personas dentro de las cuales podemos identificar 32 mujeres y 42 hombres. (Anexo 1)
- Se avanzó en la consolidación de la alianza con la Universidad San Buenaventura para el desarrollo de los eventos: V Congreso Nacional en Entrenamiento Deportivo, IV Internacional en Entrenamiento Deportivo, V Simposio de educación física y II Encuentro de semilleros de investigación en Educación Física, Recreación y Deportes, en el que se espera contar con la participación de alrededor de 800 – 900 participantes alrededor de nuevos enfoques del entrenamiento deportivo. (Anexo 2)
- Se está a la espera de la formalización del proceso de contratación del operador logístico para el desarrollo del evento de Capacitación sobre Legislación y
Administración Deportiva donde se esperan aproximadamente 1.000 personas en cada uno de los módulos estipulados. Adicionalmente, se espera poder
desarrollar un espacio para la capacitación en entrenamiento deportivo en disciplinas especificas donde se espera tener un alcance de 500 personas.</t>
  </si>
  <si>
    <t>Durante el mes de octubre de 2023 se desarrollaron los Talleres de formación en el marco del “XXVI ENCUENTRO NACIONAL Y XX INTERNACIONAL DEL SEMILLERO DE INVESTIGACIÓN” los días 12 y 13 de octubre de 2023.  En este espacio académico se contó con la participación de 346 personas, de las cuales 211 fueron mujeres, 129 hombre y 6 personas no binarias. (Anexo 1). Se avanzó en la consolidación de la alianza con la Universidad San Buenaventura para el desarrollo de los eventos: V Congreso Nacional en Entrenamiento Deportivo, IV Internacional en Entrenamiento Deportivo, V Simposio de educación física y II Encuentro de semilleros de investigación en Educación Física, Recreación y Deportes, con la formalización del apoyo logístico del evento a través del aporte de los refrigerios e hidratación (Anexo 2).
Se sigue avanzando en el consolidación del Diplomado sobre Legislación y Administración Deportiva que se realizara entre el 20 y el 24 de noviembre del presente año.</t>
  </si>
  <si>
    <t>Servicio de educación informal</t>
  </si>
  <si>
    <t>Desarrollar encuentros cientificos sobre deporte, recreación, actividad física y aprovechamiento del tiempo libre.</t>
  </si>
  <si>
    <t xml:space="preserve">Servicios de Logística de eventos científicos y académicos a través de secop II y bolsa mercantil </t>
  </si>
  <si>
    <t xml:space="preserve">Selecciòn abreviada de menor cuantía a través de bolsa mercantíl </t>
  </si>
  <si>
    <t>1. Se presentó la estrategia de comunicaciones e imagen de la Política Distrital de Deporte y Recreación – PDDR. (Anexo 5)
2. Se realizó el acompañamiento en términos de diseño de piezas, levantamiento de evidencias audiovisuales y estructuración de mensajes para divulgar las convocatorias y el desarrollo de las mesas de participación ciudadana de la PDDR.</t>
  </si>
  <si>
    <t>Fomentar la participación ciudadana en espacios de intercambio de conocimiento del sector deporte y recreación</t>
  </si>
  <si>
    <t>Para el mes de marzo se desarrollaron las primeras 15 mesas de participación de la Política Distrital de Deporte y Recreación – PDDR con una participación de 335
personas entre actores comunitarios, representantes de grupos significativos de ciudadanos, deportistas, organismos deportivos, periodistas, entes de control y veeduría y dependencias de la alcaldía. Quedan pendientes por desarrollar las mesas de participación con el Concejo Distrital y con la Academia y Docentes de Educación Física ambas a desarrollarse el 18 de abril de 2023. (Anexo 1).</t>
  </si>
  <si>
    <t>Diseñar e implementar un banco de datos sobre el sector deporte y recreación</t>
  </si>
  <si>
    <t xml:space="preserve">Contratatación de prestación de servicios profesionale y/o de apoyo a la gestión del equipo de trabajo que ejecutará las actividades del proyecto
Servicios de software a través de tienda virtual </t>
  </si>
  <si>
    <t xml:space="preserve">Contratación directa   - Tienda Virtual </t>
  </si>
  <si>
    <t>Se desarrollaron los Dashboards de los componentes: puntos de actividad física, infraestructura deportiva, inversión escenarios deportivos, EIFD y sus respectivos
niveles de formación, consolidando las bases de datos de acuerdo con el software de visualización Power BI. Queda pendiente la revisión y validación por coordinación
para compilar y estructurar para ser incluido en la página web. (Anexo 4)</t>
  </si>
  <si>
    <t xml:space="preserve">Número de piezas de Memoria Histórica del Deporte Cartagenero caracterizadas </t>
  </si>
  <si>
    <t>Se caracterizarán 10 piezas con todos los documentos e investigaciones científicas existentes de memoria histórica del deporte</t>
  </si>
  <si>
    <t>Investigar y caracterizar piezas del patrimonio deportivo en Cartagena y Bolívar</t>
  </si>
  <si>
    <t xml:space="preserve">Contratatación de prestación de servicios profesionale y/o de apoyo a la gestión del equipo de trabajo que ejecutará las actividades del proyecto
Propuesta museografica a través de Secop </t>
  </si>
  <si>
    <t xml:space="preserve">Contratación directa        Concurso de mérito </t>
  </si>
  <si>
    <t xml:space="preserve"> Se encuentra en estructuración el proceso de contratación / convocatoria para el desarrollo de las piezas de memoria histórica. Se adelanta la búsqueda de aliados para estructurar un proyecto más completo y eficiente en términos de ejecución.</t>
  </si>
  <si>
    <t>Se encuentra en estructuración el proceso de contratación / convocatoria para el desarrollo de las piezas de memoria histórica. Se adelanta la búsqueda de aliados para estructurar un proyecto más completo y eficiente en términos de ejecución.</t>
  </si>
  <si>
    <t xml:space="preserve"> Se elaboró la versión preliminar del proyecto de recuperación de la memoria histórica del bate tapita como practica tradicional en el distrito de Cartagena (Anexo 4)</t>
  </si>
  <si>
    <t xml:space="preserve">Validación de la propuesta de trabajo del proyecto de caracterización de la actividad predeportiva comunitaria del bate tapita (Anexo 5)
</t>
  </si>
  <si>
    <t>Se encuentra en desarrollo las últimas dos piezas asociadas al proyecto de investigación para la caracterización del bate tapita.</t>
  </si>
  <si>
    <t xml:space="preserve">Número de semilleros de investigación </t>
  </si>
  <si>
    <t>Se conformará y organizará 1 semillero de investigación científica deportiva</t>
  </si>
  <si>
    <t>Ejecutar la puesta en marcha del semillero de investigación sobre el sector deporte</t>
  </si>
  <si>
    <t>Servicios de Logística para implementación del semillero a través de Secop II</t>
  </si>
  <si>
    <t>El semillero se creó en el 2021, durante el 2022 se dinamizó el proceso de formación y para el 2023 se tienen preparadas unas sesiones de formación y capacitación con universidades aliadas y se busca estructurar una agenda de investigación para el desarrollo de proyectos de investigación dentro del IDER.</t>
  </si>
  <si>
    <t>El semillero ha programado una sesión de preparación de proyectos de investigación para participar en los congresos de REDCOLSI y SENA en el mes de octubre del presente año.Elaboración de la ficha de diagnóstico de los registros administrativos de certificado disponibilidad presupuestal, certificado de registro presupuestal, impuesto de espectáculos públicos y préstamo de escenarios deportivos con sus respectivos soportes (Fichas extendidas de diagnósticos de RRAA https://1drv.ms/f/s!ArZ3sYP5PZ92hm3Zeup3nKAtLMu?e=OGioHt y Fichas resumen diagnostico – Anexo 4)</t>
  </si>
  <si>
    <t>El semillero ha programado una sesión de preparación de proyectos de investigación para participar en los congresos de REDCOLSI y SENA en el mes de octubre del presente año.</t>
  </si>
  <si>
    <t>- El semillero ha programado una sesión de preparación de proyectos de investigación para participar en los congresos de REDCOLSI y SENA en el mes de octubre del presente año.</t>
  </si>
  <si>
    <t>- Se elaboró el Dashboard de la ejecución R72presupuestal del IDER (Anexo 4)</t>
  </si>
  <si>
    <t xml:space="preserve">
Se consolida el diagrama del proceso estadistico de la EIFD. Queda pendiente formalizar el diagrama del proceso estadistico de los procesos del area de infraestructura y escenarios deportivos.</t>
  </si>
  <si>
    <t>Presentación de avance del proceso de estructuración e implementación del Sistema de Información del Deporte y la Recreación de Cartagena – SIDR, a la
directora general del IDER (Anexo 3).
- Estructuración del cronograma de trabajo para el lanzamiento del SIDR
o Terminar de las bases de datos de los registros administrativos e informe de diagnóstico – 29/09/2023
o Reuniones con cada una de las dependencias del instituto para socializar dicha revisión-06/10/2023
o Entrega de las bases de datos a la Oficina de Sistemas- 13/10/2023
o Publicación de la información- 20/10/2023
o Lanzamiento del SIDR- 31/10/2023.                                                                                                                                                                                                                                                      Realización de reuniones con miembros de la USB e IDER sobre el semillero de investigación DRAFAT para definir la ruta de trabajo y responsables en la
investigación sobre la reconstrucción de la memoria histórica del Bate tapita en Cartagena. (Anexo 4)
- Elaboración de cronograma sobre el trabajo de campo a realizar en la investigación de Bate tapita. (Anexo 5)
- Levantamiento de espacios donde se jugaba y juega el Bate tapita en Cartagena para la elaboración de mapa georreferenciado (Anexo 6)</t>
  </si>
  <si>
    <t xml:space="preserve">Se completa la estructuración del Sistema de Información del Deporte y Recreación – SIDR https://ider.gov.co/observatorio-ider/sidr/ 
Se establece la fecha del lanzamiento para el 14 de noviembre de 2023 de 10:00 am a 12:00 m en el auditorio de la universidad Los Libertadores. (Anexo 2). Se programan los talleres de cartografía social para el mes de noviembre.
</t>
  </si>
  <si>
    <t>Número de alianzas y convenios para la generación y apropiación social del conocimiento</t>
  </si>
  <si>
    <t>Se realizarán 10 convenios institucionales para la generación y apropiación social del conocimiento</t>
  </si>
  <si>
    <t>Generar alianzas para la producción de conocimiento cientifico y para fortalecer la formación técnica, tecnológa y profesional sobre deporte y recreación</t>
  </si>
  <si>
    <t>Se está a la espera de asignación del asesor jurídico que apoyara los procesos de articulación con las siguientes entidades: Comité Olímpico Colombiano (COC), UNICOLOMBO y la Universidad Tecnológica de Bolívar.</t>
  </si>
  <si>
    <t xml:space="preserve">Se está a la espera de asignación del asesor jurídico que apoyara los procesos de articulación con las siguientes entidades: Universidad los Libertadores,UNICOLOMBO y la Universidad Tecnológica de Bolívar. el cual se encargará j de la revisión de los convenios pendientes, los cuales están fundamentados en estrategias de cooperación asociadas a la realización de eventos científicos y capacitaciones en temas vinculados a las ciencias aplicadas al deporte y la recreación. </t>
  </si>
  <si>
    <t>Se estableció vinculo con la Red Colombiana de Semilleros de Investigación – REDCOLSI (Anexo 7)</t>
  </si>
  <si>
    <t>En el marco de la participación como miembro de la Red de Observatorios de Derechos Humanos y Derecho Internacional Humanitario (RODHI), se asistió a la
sesión fortalecimiento técnico del Nodo Caribe que se desarrolló los días 15 y 16 de junio de 2023. Asimismo, se acordó una reunión de nodo para presentar el
plan de trabajo y proyecto de investigación para realizar el informe ya que el Observatorio de Ciencias Aplicadas al Deporte es el líder. (Anexo 5)
- Con la Corporación Universitaria Rafael Núñez se realizó reunión el 28 de junio de 2023, donde se envió el oficio para la activación de las becas otorgadas por
dicha entidad a los deportistas para programas técnicos, tecnólogos y profesionales. Por otra parte, la última reunión sostenida para se quedó con el compromiso
de una reunión con el director de investigaciones de la institución educativa superior (IES). (Anexo 5)</t>
  </si>
  <si>
    <t>Envío del documento de la convocatoria de las becas otorgadas por las instituciones educativas de educación superior para revisión del personal encargado
(Anexo 6)
- Envío de los convenios con las correcciones solicitadas por la oficina asesora jurídica (Anexo 7)
- Envío de la documentación del convenio Unicolombo a la oficina asesora jurídica para creación del proceso en SECOP II (Anexo 8). En gestión de convenios pendientes se envió la Oficina Asesora Jurídica las correcciones solicitadas por la misma lo cual ya fue remitido para su revisión y aprobación para proceder a la firma. Por otro lado, se está a la espera del modificatorio de Unicolombo para iniciar un trabajo articulado con dicha institución, así como con Universidad Tecnológica Bolívar y Fundación Universitaria Los Libertadores.</t>
  </si>
  <si>
    <r>
      <rPr>
        <b/>
        <u/>
        <sz val="20"/>
        <color theme="1"/>
        <rFont val="Calibri"/>
        <family val="2"/>
        <scheme val="minor"/>
      </rPr>
      <t xml:space="preserve"> Para el mes de agosto de 2023: </t>
    </r>
    <r>
      <rPr>
        <sz val="20"/>
        <color theme="1"/>
        <rFont val="Calibri"/>
        <family val="2"/>
        <scheme val="minor"/>
      </rPr>
      <t xml:space="preserve">                                                                                                                                                                                                                                           Firma del modificatorio del Unicolombo y subido del SECOP II
Envío de los documentos actualizados de la UTB solicitadas por la oficina asesora jurídica
Asistencia a la reunión para la reactivación del semillero de investigación formado entre la USB e IDER</t>
    </r>
  </si>
  <si>
    <t>Se esta a la espera de la respuesta del área jurídica sobre la versión final de las minutas para consolidar la firma de los convenios con la Universidad Tecnológica
de Bolívar – UTB y La Institución Universitaria los Libertadores</t>
  </si>
  <si>
    <t xml:space="preserve">Se esta a la espera de la respuesta del área jurídica sobre la versión final de las minutas para consolidar la firma de los convenios con la Universidad Tecnológica de Bolívar – UTB y La Institución Universitaria los Libertadores. 
</t>
  </si>
  <si>
    <t xml:space="preserve">Se Integrarán los planes institucionales y estrategicos al Plan de Acción (Decreto No. 612 del 2018 ) </t>
  </si>
  <si>
    <t xml:space="preserve">Número </t>
  </si>
  <si>
    <t xml:space="preserve">Se realizaran 12   los planes institucionales y estrategicos al Plan de Acción -Decreto No. 612 del 2018 </t>
  </si>
  <si>
    <t xml:space="preserve">Elaborar, presentar, socializar y realizar seguimiento a los planes institucionales y estrategicos -Decreto No. 612 del 2018 </t>
  </si>
  <si>
    <t xml:space="preserve">SI </t>
  </si>
  <si>
    <t>Se realizó el seguimiento de los Planes Institucionales del Decreto No. 612 del 2018 , los cuales seran publicados la primera semanas del mes de abril de 2023.</t>
  </si>
  <si>
    <t>Se realizó el seguimiento del primer trimestre del año 2023 de los planes institucionales y estratégicos del Decreto No. 612  del 2018 , los cuales fueron publicados en la página web del IDER en la primera semana del mes de abril del 2023 .</t>
  </si>
  <si>
    <t>Se esta trabajando en el segumiento al segundo trimestre  del año 2023 de los planes institucionales y estratégicos del Decreto No. 612  del 2018 , los cuales será,publicados en la página web del IDER en la primera semana del mes de julio  del 2023 .</t>
  </si>
  <si>
    <t>Se publicaron en la página web del IDER ,  el seguimiento del segundo trimestre del año 2023 de los planes institucionales y estratégicos del Decreto No. 612  del 2018 .</t>
  </si>
  <si>
    <t xml:space="preserve">Se publicaron en la página web del IDER ,  el tercer seguimiento de los planes institucionales y estratégicos del Decreto No. 612  del 2018 en el mes de octubre de 2023 </t>
  </si>
  <si>
    <t>El tercer seguimiento de los planes institucionales y estratégicos del Decreto No. 612  del 2018 , se público en el mes de octubre de 2023.</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</si>
  <si>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</si>
  <si>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</si>
  <si>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</si>
  <si>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</si>
  <si>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3.1 Servicio de administración de la infraestructura deportiva</t>
  </si>
  <si>
    <t>Gestión de Valores para Resultados</t>
  </si>
  <si>
    <t xml:space="preserve">Gestión de Bienes y Servicios </t>
  </si>
  <si>
    <t>Desarrollar una estrategia transparente y masificada del uso de los escenarios deportivos, 
fomentando cultura ciudadana del cuidado responsable, así como el desarrollo de manuales de 
lineamientos técnicos para las futuras instalaciones y de una estrategia de mantenimiento que 
podamos realizar de manera preventiva y correctiva. También tiene como objetivo ampliar el número 
de escenarios deportivos y recreativos para poner a disposición de la ciudadanía espacios públicos 
más seguros, accesibles sin barreras y equipados para el desarrollo del deporte, la recreación, 
actividad física y uso del tiempo libre para todos los ciudadanos.</t>
  </si>
  <si>
    <t>Conservación, mantenimiento y mejoramiento de los escenarios deportivos de la ciudad como estrategia de preservación del patrimonio material del Distrito de Cartagena de Indias</t>
  </si>
  <si>
    <t>Preservar los escenarios deportivos en el distrito de Cartagena de Indias</t>
  </si>
  <si>
    <t xml:space="preserve">3.1.1 Administrar el uso y préstamo de los escenarios a la comunidad </t>
  </si>
  <si>
    <t>CONSERVACIÓN , MANTENIMIENTO Y MEJORAMIENTO DE LOS ESCENARIOS DEPORTIVOS DE LA CIUDAD COMO ESTRATEGIA DE PRESERVACIÓN DEL PATRIMONIO MATERIAL DEL DISTRITO DE   CARTAGENA DE INDIAS</t>
  </si>
  <si>
    <t>2.3.4301.1604.2020130010036</t>
  </si>
  <si>
    <r>
      <t xml:space="preserve">Durante este mes de enero de 2023, se otorgaron 295 permisos de estos permisos se beneficiaron a 2.334 personas , los cuales se distribuyeron asi: Deportistas: 2060, Entrenadores: 133, Administradores: 141 personas. Dentro de este programa desarrollamos otros aspectos como por ejemplo:   </t>
    </r>
    <r>
      <rPr>
        <b/>
        <sz val="20"/>
        <color theme="1"/>
        <rFont val="Calibri"/>
        <family val="2"/>
        <scheme val="minor"/>
      </rPr>
      <t xml:space="preserve">                                                                                                                  Indicador N.º 5: </t>
    </r>
    <r>
      <rPr>
        <sz val="20"/>
        <color theme="1"/>
        <rFont val="Calibri"/>
        <family val="2"/>
        <scheme val="minor"/>
      </rPr>
      <t xml:space="preserve">En el mes de enero de 2023 ingresaron veinte ocho mil ochocientas ochenta y cinco (28.885) personas (estàn incluidas las personas de los permisos ) que se registraron en las planillas de ingreso a las U.D. En este enlace podrá observarlas https://idergov-my.sharepoint.com/:f:/g/personal/asistenteinfraestructura_ider_gov_co/Eji7GWvMcEpBqrkYw4VYQq8B0eObUNnJXiQgj3Jje7Q1xg?e=5%3aH2lnLU&amp;at=9.                                                                                                             </t>
    </r>
    <r>
      <rPr>
        <b/>
        <u/>
        <sz val="20"/>
        <color theme="1"/>
        <rFont val="Calibri"/>
        <family val="2"/>
        <scheme val="minor"/>
      </rPr>
      <t xml:space="preserve">Indicador N.º 7 : </t>
    </r>
    <r>
      <rPr>
        <sz val="20"/>
        <color theme="1"/>
        <rFont val="Calibri"/>
        <family val="2"/>
        <scheme val="minor"/>
      </rPr>
      <t xml:space="preserve">Se realizan intervenciones 56 unidades deportivas (Localidad 1: 29 + Localidad 2: 16 + Localidad 3: 11 en términos Mantenimientos Preventivos Recurrentes. La meta de cada localidad es de al menos 60 Unidades Deportivas por mes.                                                                                                                                          </t>
    </r>
    <r>
      <rPr>
        <b/>
        <u/>
        <sz val="20"/>
        <color theme="1"/>
        <rFont val="Calibri"/>
        <family val="2"/>
        <scheme val="minor"/>
      </rPr>
      <t xml:space="preserve"> Indicador N.º 8</t>
    </r>
    <r>
      <rPr>
        <sz val="20"/>
        <color theme="1"/>
        <rFont val="Calibri"/>
        <family val="2"/>
        <scheme val="minor"/>
      </rPr>
      <t xml:space="preserve"> :Se realiza el pago de facturas de servicios públicos hasta el mes de diciembre en energía y agua. 
</t>
    </r>
  </si>
  <si>
    <t xml:space="preserve">Durante este período del mes de  febrero de 2023, se otorgaron 371permisos de estos permisos se beneficiaron a 13.234 personas , los cuales se distribuyeron asi: Deportistas:11.066, Entrenadores:1.067, Administradores: 675 y Aficionados: 426 personas </t>
  </si>
  <si>
    <t xml:space="preserve">Durante este período del mes de  Marzo de 2023, se otorgaron 1.780 permisos de estos permisos proyectando un impacto en 39.932 personas , los cuales se distribuyeron asi: Deportistas:31.676, Entrenadores:4.422, Administradores: 2.530 personas  </t>
  </si>
  <si>
    <t>Durante este período del mes de  abril  de 2023, se otorgaron 1.780. permisos  de los cuales impactaron a   personas 55.500, los cuales se distribuyeron asi: Deportistas:44.341, Entrenadores:5.880, Administradores:3.699 ; Aficionados:1.580 .</t>
  </si>
  <si>
    <t>Durante este período del 1 al  30 de mayo   de 2023, se otorgaron 20 permisos para un gran total de 1.800 permisos  , los cuales beneficiaron de enero a mayo de 2023 a 93.148 personas , estas personas beneficiadas con de los permisos y  el ingreso a los escenarios.</t>
  </si>
  <si>
    <t>Durante este período  de enero  a junio  del 2023, se otorgaron 1.995  permisos  los cuales beneficiaron a 93.812 personas .</t>
  </si>
  <si>
    <t>Durante este período  de enero  a julio  del 2023, se otorgaron 2.175 permisos  los cuales beneficiaron a 115.271  personas , distribuidos de la siguiente manera : Deportistas: 92.383, Entrenadores: 9.890, Administrativos:7.599 y Aficionados:5.399 .</t>
  </si>
  <si>
    <t>Durante este período  de enero  a  agosto del 2023, se otorgaron 2809 permisos  los cuales beneficiaron a 134.679   personas , distribuidos de la siguiente manera : Deportistas: 106.473, Entrenadores: 11.797, Administrativos:9.804 y Aficionados:6.605. .</t>
  </si>
  <si>
    <t>Durante este período  de enero  a  septiembre  del 2023, se otorgaron 3.119 permisos  los cuales beneficiaron a 173.537   personas , distribuidos de la siguiente manera : Deportistas: 140.692, Entrenadores: 13.822, Administrativos:11.488 y Aficionados:7.535. para un total de 173.537 personas beneficiadas con los permisos.</t>
  </si>
  <si>
    <t>Durante este período  de enero  a  octubre   del 2023, se otorgaron 3.330 permisos  los cuales beneficiaron a 189.005  personas , distribuidos de la siguiente manera : Deportistas: 154.375, Entrenadores: 14.583, Administrativos:12.305 y Aficionados:7.742  personas beneficiadas con los permisos.</t>
  </si>
  <si>
    <t>3.1.2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</si>
  <si>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</si>
  <si>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</si>
  <si>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1.1.3 Socializar y divulgar el uso adecuado de los escenarios deportivos a todos los usuarios y beneficiarios</t>
  </si>
  <si>
    <r>
      <rPr>
        <b/>
        <u/>
        <sz val="20"/>
        <color theme="1"/>
        <rFont val="Calibri"/>
        <family val="2"/>
        <scheme val="minor"/>
      </rPr>
      <t>Indicador N.º 5:</t>
    </r>
    <r>
      <rPr>
        <sz val="20"/>
        <color theme="1"/>
        <rFont val="Calibri"/>
        <family val="2"/>
        <scheme val="minor"/>
      </rPr>
      <t xml:space="preserve"> En el mes de  febrero ingresaron  </t>
    </r>
    <r>
      <rPr>
        <sz val="20"/>
        <rFont val="Calibri"/>
        <family val="2"/>
        <scheme val="minor"/>
      </rPr>
      <t>cincuenta y cinco mil trecientos ochenta y seis (55.386)</t>
    </r>
    <r>
      <rPr>
        <sz val="20"/>
        <color theme="1"/>
        <rFont val="Calibri"/>
        <family val="2"/>
        <scheme val="minor"/>
      </rPr>
      <t xml:space="preserve"> personas que se registraron en las planillas de ingreso a las U.D.   En este enlace podrá observarlas https://idergov-my.sharepoint.com/:f:/g/personal/asistenteinfraestructura_ider_gov_co/Eji7GWvMcEpBqrkYw4VYQq8B0eObUNnJXiQgj3Jje7Q1xg?e=5%3aH2lnLU&amp;at=9, a esta población se le suma las 13. 234 personas de los permisos para un total de 66.620. </t>
    </r>
  </si>
  <si>
    <r>
      <t xml:space="preserve">En el acumulado de las personas que hacen uso y disfrute de los escenarios se tiene un total de 76.580 personas.  En este enlace podrá observarlas https://idergov-my.sharepoint.com/:f:/g/personal/asistenteinfraestructura_ider_gov_co/Eji7GWvMcEpBqrkYw4VYQq8B0eObUNnJXiQgj3Jje7Q1xg?e=5%3aH2lnLU&amp;at=9, a esta población se le suma las 39.932  personas de los permisos para un total de </t>
    </r>
    <r>
      <rPr>
        <b/>
        <sz val="20"/>
        <color theme="1"/>
        <rFont val="Calibri"/>
        <family val="2"/>
        <scheme val="minor"/>
      </rPr>
      <t xml:space="preserve">72.923 </t>
    </r>
  </si>
  <si>
    <t>En el acumulado de las personas que hacen uso y disfrute de los escenarios se tiene un total de 47.085  personas.  En este enlace podrá observarlas https://idergov-my.sharepoint.com/:f:/g/personal/asistenteinfraestructura_ider_gov_co/Eji7GWvMcEpBqrkYw4VYQq8B0eObUNnJXiQgj3Jje7Q1xg?e=5%3aH2lnLU&amp;at=9,La población beneficiada  a través de los permisos de enero a abril de 2023 fueron  55.500  personas de los permisos  para un total de 92.148 personas (Se agragaron 15.568 personas de las planillas de ingreso de los escenarios ).</t>
  </si>
  <si>
    <t>En el acumulado de las personas que hacen uso y disfrute de los escenarios se tiene un total de 47.085  personas.  En este enlace podrá observarlas https://idergov-my.sharepoint.com/:f:/g/personal/asistenteinfraestructura_ider_gov_co/Eji7GWvMcEpBqrkYw4VYQq8B0eObUNnJXiQgj3Jje7Q1xg?e=5%3aH2lnLU&amp;at=9,La población beneficiada  a través de los permisos de enero a  mayo de 2023 se incremento a  1.000  personas de los permisos  para un total de  93.148 personas .</t>
  </si>
  <si>
    <t xml:space="preserve">En el acumulado de las personas que hacen uso y disfrute de los escenarios a través de los permisos es de 115.271 beneficiarios , los cuales estan distribuidos así: Deportistas: 92.383; Entrenadores. 9.890 , Administrativos: 7.599 y Aficionados : 5.399 , asi mismo a  través de las planillas de ingresos a los escenarios deportivos tenemos beneficarios de </t>
  </si>
  <si>
    <t>A corte de 30 de julio ingresaron cincuenta y cinco mil novecientos noventa y tres (55.993) que se registraron en las planillas de ingreso a las U.D. Para un total en el año de doscientos setenta y dos mil setecientos treinta y siete (272.737). Para consultar las planillas de ingreso por escenarios en el siguiente link:
https://idergov-my.sharepoint.com/:f:/g/personal/asistenteinfraestructura_ider_gov_co/Eji7GWvMcEpBqrkYw4VYQq8B0eObUNnJXiQgj3Jje7Q1xg?e=5%3aYJ4U5L&amp;at=9.  Por lo anterior se toman de las planillas la cifra de 172.737 personas más la cifra de los beneficados de los permisos de 115.271 , para un gran total de 288.008 personas.</t>
  </si>
  <si>
    <t xml:space="preserve">A corte de 30 de agosto cuarenta y un mil trescientas setenta y dos personas (41.372) que se registraron en las planillas de ingreso a las U.D. Para un total en el año de trecientas catorce mil ciento nueve (314.109) Para Constancia de adjunta link donde podrá ver por escenarios las planillas de ingreso. https://idergov-my.sharepoint.com/:f:/g/personal/asistenteinfraestructura_ider_gov_co/Eji7GWvMcEpBqrkYw4VYQq8B0eObUNnJXiQgj3Jje7Q1xg?e=5%3aYJ4U5L&amp;at=9.  Por lo anterior se toman de las planillas la cifra de 192.737 personas más la cifra de los beneficados de los permisos de 134.679 , para un gran total a 31 de agosto de 2023  de 327.416 personas. </t>
  </si>
  <si>
    <t xml:space="preserve">A corte de 30 de septiembre de 2023, se beneficiaron a Trescientos cincuenta y seis mil cuatrocientos veintiocho (356.428) personas distribuidas entre permisos por el uso de escenarios deportivos otorgados a deportistas, entrenadores , administrativos y aficionados   y  las planillas de ingresos de las personas que registraron a los  unidades deportivas.  </t>
  </si>
  <si>
    <t xml:space="preserve">A corte de 31 de octubre de 2023, se beneficiaron a Trescientos Setenta y Un  Mil Ochociento Noventa y Seis  (371.896) personas distribuidas entre permisos por el uso de escenarios deportivos otorgados a deportistas, entrenadores , administrativos y aficionados   y  las planillas de ingresos de las personas que registraron a los  unidades deportivas.  </t>
  </si>
  <si>
    <t>1.1.4 Disponer los escenarios deportivos para el uso de la comunidad</t>
  </si>
  <si>
    <t>Contratatación de prestación de servicios profesionale y/o de apoyo a la gestión del equipo de trabajo que ejecutará las actividades del proyecto
Suministro de elementos de bioseguridad para el uso de los escenarios deportivos</t>
  </si>
  <si>
    <t>1.1.5 Divulgar las acciones y actividades desarrolladas en el proyecto</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</si>
  <si>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</si>
  <si>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</si>
  <si>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 </t>
  </si>
  <si>
    <t>2.1.1 Realizar un plan general de mantenimiento de los escenarios deportivos</t>
  </si>
  <si>
    <t xml:space="preserve">Contratatación de prestación de servicios profesionale y/o de apoyo a la gestión del equipo de trabajo que ejecutará las actividades del proyecto: a través de Secop II
Suministro de COMBUSTIBLES Y LUBRICANTES
Adquisición de QUIMICOS Y HERRAMIENTAS DE MANTENIMIENTOS
Servicio de MANTENIMIENTO AIRES ACONDICIONADO
Adquisición de Materiales de FERRETERIA
Servicios de ADECUACIÓN DE ESCENARIOS, SEÑALETICA
Adquisición de insumos para ASEO
Adquisición de AGROQUIMICOS
Adquisición de PAPELERIA
Servicio de MANTENIMEINTO DE EQUIPOS DE CORTE DE CESPED
ADQUISICION DE EQUIPOS      </t>
  </si>
  <si>
    <t xml:space="preserve">Contratación directa.  Selección abreviada de menor cuantía y  a través de bolsa mercantia, acuerdos marco según se trate. Minima Cuantía </t>
  </si>
  <si>
    <r>
      <rPr>
        <b/>
        <u/>
        <sz val="20"/>
        <color theme="1"/>
        <rFont val="Calibri"/>
        <family val="2"/>
        <scheme val="minor"/>
      </rPr>
      <t>Indicador N.º 8 :</t>
    </r>
    <r>
      <rPr>
        <sz val="20"/>
        <color theme="1"/>
        <rFont val="Calibri"/>
        <family val="2"/>
        <scheme val="minor"/>
      </rPr>
      <t xml:space="preserve"> Se realiza el pago de facturas de servicios públicos hasta el mes de enero  en energía y agua. </t>
    </r>
    <r>
      <rPr>
        <b/>
        <u/>
        <sz val="20"/>
        <color theme="1"/>
        <rFont val="Calibri"/>
        <family val="2"/>
        <scheme val="minor"/>
      </rPr>
      <t>Indicador N.º 7 :</t>
    </r>
    <r>
      <rPr>
        <sz val="20"/>
        <color theme="1"/>
        <rFont val="Calibri"/>
        <family val="2"/>
        <scheme val="minor"/>
      </rPr>
      <t xml:space="preserve"> Se realizan intervenciones 99 unidades deportivas (Localidad 1: 61 + Localidad 2: 55 + Localidad 3: 39 en términos Mantenimientos Preventivos Recurrentes. Para este año 2023 realizaremos mantenimiento y adecuación  de los escenarios deportivos :San Fernando, Bocachica, Bombonera, El Carmelo y El Campestre 4ta etapa</t>
    </r>
  </si>
  <si>
    <r>
      <rPr>
        <b/>
        <u/>
        <sz val="20"/>
        <color theme="1"/>
        <rFont val="Calibri"/>
        <family val="2"/>
        <scheme val="minor"/>
      </rPr>
      <t>Indicador N.º 8 :</t>
    </r>
    <r>
      <rPr>
        <sz val="20"/>
        <color theme="1"/>
        <rFont val="Calibri"/>
        <family val="2"/>
        <scheme val="minor"/>
      </rPr>
      <t xml:space="preserve"> Se realiza el pago de facturas de servicios públicos hasta el mes de febrero en energía y agua.</t>
    </r>
    <r>
      <rPr>
        <b/>
        <u/>
        <sz val="20"/>
        <color theme="1"/>
        <rFont val="Calibri"/>
        <family val="2"/>
        <scheme val="minor"/>
      </rPr>
      <t xml:space="preserve"> Indicador N.º 7 :</t>
    </r>
    <r>
      <rPr>
        <sz val="20"/>
        <color theme="1"/>
        <rFont val="Calibri"/>
        <family val="2"/>
        <scheme val="minor"/>
      </rPr>
      <t xml:space="preserve"> Se realizan intervenciones 42 unidades deportivas (Localidad 1: 65 + Localidad 2: 69 + Localidad 3:63 en términos Mantenimientos Preventivos Recurrentes. Para este año 2023 realizaremos mantenimiento y adecuación  de los escenarios deportivos :San Fernando ( Se adjudicará el contrato en el mes de abril de 2023), Bocachica(La estructuración del proyecto esta en un 100%), Bombonera (El proyecto se encuentra en 98% de su formulación), El Carmelo(Se realizó la memoria descriptiva del proyecto y los estudios previos) y El Campestre 5ta etapa(Se realizó la memoria descriptiva del proyectó y los estudios previos).</t>
    </r>
  </si>
  <si>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marzo en estos pagos</t>
    </r>
    <r>
      <rPr>
        <b/>
        <u/>
        <sz val="20"/>
        <color theme="1"/>
        <rFont val="Calibri"/>
        <family val="2"/>
        <scheme val="minor"/>
      </rPr>
      <t xml:space="preserve">.Indicador N.º 7 : </t>
    </r>
    <r>
      <rPr>
        <sz val="20"/>
        <color theme="1"/>
        <rFont val="Calibri"/>
        <family val="2"/>
        <scheme val="minor"/>
      </rPr>
      <t>Se realizan intervenciones 20 unidades deportivas (Localidad 1: 75 + Localidad 2: 73 + Localidad 3:66 en términos Mantenimientos Preventivos Recurrentes. A la fecha llevamos 3 Juega Limpio por el deporte, en el mes de abril se realizó en el Estadio de Softbol Los Caracoles, el tercer Juega Limpio por el Deporte, con la colaboración del EPA, Espacio Publica, Pacaribe El primer Juega Limpio por el Deporte se realizó en la cancha de los Cerros de la UC 11 impactando a más 2000 personas.</t>
    </r>
  </si>
  <si>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abril en estos pagos</t>
    </r>
    <r>
      <rPr>
        <b/>
        <u/>
        <sz val="20"/>
        <color theme="1"/>
        <rFont val="Calibri"/>
        <family val="2"/>
        <scheme val="minor"/>
      </rPr>
      <t xml:space="preserve">.Indicador N.º 7 : </t>
    </r>
    <r>
      <rPr>
        <sz val="20"/>
        <color theme="1"/>
        <rFont val="Calibri"/>
        <family val="2"/>
        <scheme val="minor"/>
      </rPr>
      <t xml:space="preserve">Se realizan intervenciones 30 unidades deportivas (Localidad 1: 76 + Localidad 2: 80 + Localidad 3:88 en términos Mantenimientos Preventivos Recurrentes. </t>
    </r>
  </si>
  <si>
    <r>
      <t xml:space="preserve">Indicador N.º 8 : </t>
    </r>
    <r>
      <rPr>
        <sz val="20"/>
        <color theme="1"/>
        <rFont val="Calibri"/>
        <family val="2"/>
        <scheme val="minor"/>
      </rPr>
      <t>Para el buen funcionamiento de los escenarios deportivos es necesario contar con los servicios públicos. Se pagan servicios públicos de 27 y 16 escenarios deportivos para agua y luz respectivamente. A la fecha estamos al día hasta el mes de mayo  en estos pagos</t>
    </r>
    <r>
      <rPr>
        <b/>
        <u/>
        <sz val="20"/>
        <color theme="1"/>
        <rFont val="Calibri"/>
        <family val="2"/>
        <scheme val="minor"/>
      </rPr>
      <t xml:space="preserve">.Indicador N.º 7 : </t>
    </r>
    <r>
      <rPr>
        <sz val="20"/>
        <color theme="1"/>
        <rFont val="Calibri"/>
        <family val="2"/>
        <scheme val="minor"/>
      </rPr>
      <t xml:space="preserve">Se realizan intervenciones 30 unidades deportivas (Localidad 1: 81 + Localidad 2: 86 + Localidad 3:93 en términos Mantenimientos Preventivos Recurrentes. </t>
    </r>
  </si>
  <si>
    <r>
      <t xml:space="preserve">                </t>
    </r>
    <r>
      <rPr>
        <b/>
        <u/>
        <sz val="20"/>
        <color theme="1"/>
        <rFont val="Calibri"/>
        <family val="2"/>
        <scheme val="minor"/>
      </rPr>
      <t xml:space="preserve">    Indicador N.º 8 :</t>
    </r>
    <r>
      <rPr>
        <sz val="20"/>
        <color theme="1"/>
        <rFont val="Calibri"/>
        <family val="2"/>
        <scheme val="minor"/>
      </rPr>
      <t xml:space="preserve"> Para el buen funcionamiento de los escenarios deportivos es necesario contar con los servicios públicos. Se pagan servicios públicos de 27 y 16 escenarios deportivos para agua y luz respectivamente. A la fecha estamos al día hasta el mes de junio  en estos pagos</t>
    </r>
    <r>
      <rPr>
        <b/>
        <u/>
        <sz val="20"/>
        <color theme="1"/>
        <rFont val="Calibri"/>
        <family val="2"/>
        <scheme val="minor"/>
      </rPr>
      <t>.Indicador N.º</t>
    </r>
    <r>
      <rPr>
        <sz val="20"/>
        <color theme="1"/>
        <rFont val="Calibri"/>
        <family val="2"/>
        <scheme val="minor"/>
      </rPr>
      <t xml:space="preserve"> 7 : Se realizan intervenciones 30 unidades deportivas (Localidad 1: 81 + Localidad 2: 86 + Localidad 3:96 en términos Mantenimientos Preventivos Recurrentes.                                                                                                                                                                                                                                                                                                                                                                                     </t>
    </r>
  </si>
  <si>
    <r>
      <t>Indicador N.º 8 :</t>
    </r>
    <r>
      <rPr>
        <sz val="20"/>
        <color theme="1"/>
        <rFont val="Calibri"/>
        <family val="2"/>
        <scheme val="minor"/>
      </rPr>
      <t xml:space="preserve"> Para el buen funcionamiento de los escenarios deportivos es necesario contar con los servicios públicos. Se pagan servicios públicos de 27 y 16 escenarios deportivos para agua y luz respectivamente. A la fecha estamos al día hasta el mes de julio  en estos pagos.Indicador N.º 7 : Se realizan intervenciones 30 unidades deportivas (Localidad 1: 82 + Localidad 2: 86 + Localidad 3:97 en términos Mantenimientos Preventivos Recurrentes.  </t>
    </r>
  </si>
  <si>
    <r>
      <t>Indicador N.º 8 :</t>
    </r>
    <r>
      <rPr>
        <sz val="20"/>
        <color theme="1"/>
        <rFont val="Calibri"/>
        <family val="2"/>
        <scheme val="minor"/>
      </rPr>
      <t xml:space="preserve"> Para el buen funcionamiento de los escenarios deportivos es necesario contar con los servicios públicos. Se pagan servicios públicos de 27 y 16 escenarios deportivos para agua y luz respectivamente. A la fecha estamos al día hasta el mes de agosto   en estos pagos.Indicador N.º 7 : Se realizan intervenciones 30 unidades deportivas (Localidad 1: 83 + Localidad 2: 86 + Localidad 3:97 en términos Mantenimientos Preventivos Recurrentes.  CAMPO DE SOFTBOL DEL BARRIO EL CAMPESTRE: Se inicio las obras y muestra un avance de obra 6,55%. Siendo sus avances por las demoliciones y las excavaciones de muros y graderías , CANCHA MULTIPLE. DEL LIBANO PLAYAS DE ACAPULCO:Se dará inicio a la obra y tiene un avance de ejecución de 36%, marcado por la demolición de muro y el retiro del cerramiento de mallas, CAMPO DE SOFTBOL DEL BARRIO EL SOCORRO JUSTO DE AVILA : Presenta un avance técnico de 19.19% se encuentran realizando la figurada de hierro de toda la cimentación y la fundida de esta, CAMPO DE BEISBOL INFANTIL DANIEL ORTIZ 
LOS BRAVITOS: Presenta un avance del 40% Reparación de cubierta de gradería. Desmonte malla y reparación de los muros. CANCHA MULTIPLES DEL MONSERATE: Presenta un avance del 36.500% Demolición de placa desmonte de malla y demolición de muro cerramiento. Conformación de suelo de placo de juegos, armado de hierro de vigas de cerramiento.</t>
    </r>
  </si>
  <si>
    <t xml:space="preserve">No. 8 Para el buen funcionamiento de los escenarios deportivos es necesario contar con los servicios públicos. A la fecha se encuentran al día al mes de septiembre. Se pagan servicios públicos de 27 y 16 escenarios deportivos para agua y luz respectivamente. A la fecha estamos al día hasta el mes de septiembre en estos pagos. N.º 7 : Se realizan intervenciones 30 unidades deportivas (Localidad 1: 83 + Localidad 2: 86 + Localidad 3:97 en términos Mantenimientos Preventivos Recurrentes.  </t>
  </si>
  <si>
    <t>2.1.2 Intervenir de manera preventiva, correctiva, programada y predictiva los escenarios deportivos</t>
  </si>
  <si>
    <t xml:space="preserve">Contratatación de prestación de servicios profesionale y/o de apoyo a la gestión del equipo de trabajo que ejecutará las actividades del proyecto
Servicios de conservación, mejoramientos locativos
Servicio de TRANSPORTE terrestre a través de tienda virtual </t>
  </si>
  <si>
    <t xml:space="preserve">Contratación directa                                         Selección abreviada de menor cuantia a través de Acuerdo Marco </t>
  </si>
  <si>
    <t>2.1.3 Garantizar el continuo uso y disfrute de los escenarios</t>
  </si>
  <si>
    <t>Contratatación de prestación de servicios profesionale y/o de apoyo a la gestión del equipo de trabajo que ejecutará las actividades del proyecto
Servicios de Vigilancia a través de secop II y bolsa mercantil 
Servicios Públicos requeridos para el uso de los escenarios</t>
  </si>
  <si>
    <t xml:space="preserve">Contratación directa                                         Selección abreviada de menor cuantia a través de Bolsa Mercantil </t>
  </si>
  <si>
    <t xml:space="preserve">Número de escenarios deportivos construidos  </t>
  </si>
  <si>
    <t xml:space="preserve">Se desarrollará la construcción de 10 escenarios deportivos en el Distrito de Cartagena de Indias </t>
  </si>
  <si>
    <t xml:space="preserve">2.1.4. Ejecutar las obras de construcción y/o reconstrucción de los escenarios deportivos. </t>
  </si>
  <si>
    <t xml:space="preserve">Contratatación de prestación de servicios profesionale y/o de apoyo a la gestión del equipo de trabajo que ejecutará las actividades del proyecto
Servicios de construcción para obras en escenarios deportivos procesos de contratación a través de Secop II </t>
  </si>
  <si>
    <t xml:space="preserve">Contratación directa. Licitación pública </t>
  </si>
  <si>
    <t>Para esta vigencia 2023  realizaremos dos  (2) reconstrucciones de escenarios deportivos asi como continuamos con el Proyecto del Campo de Softbol de Tierra Baja , en espera que fijen la fecha de la OCAD PAZ.</t>
  </si>
  <si>
    <t xml:space="preserve">Sin embargo, se adelantaron etapas precontractuales para la ejecución de adecuaciones y mejoramientos para 5 escenarios
•	Estadio de futbol San Fernando, Canchas múltiples La Bombonera en el barrio los Calamares y en Bocachica: para este caso el proyecto se encuentra en inicio de ejecuciones. 
•	Canchas múltiples barrios El Carmelo y El Campestre 5ta Etapa: en etapa de adjudicación.  
</t>
  </si>
  <si>
    <r>
      <rPr>
        <b/>
        <sz val="20"/>
        <color theme="1"/>
        <rFont val="Calibri"/>
        <family val="2"/>
        <scheme val="minor"/>
      </rPr>
      <t>1.ESTADIO DE FUTBOL SAN FERNANDO :*</t>
    </r>
    <r>
      <rPr>
        <sz val="20"/>
        <color theme="1"/>
        <rFont val="Calibri"/>
        <family val="2"/>
        <scheme val="minor"/>
      </rPr>
      <t xml:space="preserve">Este proyecto que esta por vigencia futura. Se encuentra adjudicado en el Contrato de obra 399.y el contrato de interventoría 400. Se inicio la obra, se estableció la veeduría y se realizaron las actas de vecindad.. </t>
    </r>
    <r>
      <rPr>
        <b/>
        <sz val="20"/>
        <color theme="1"/>
        <rFont val="Calibri"/>
        <family val="2"/>
        <scheme val="minor"/>
      </rPr>
      <t>2. CANCHA MULTIPLE LA BOMBONERA:</t>
    </r>
    <r>
      <rPr>
        <sz val="20"/>
        <color theme="1"/>
        <rFont val="Calibri"/>
        <family val="2"/>
        <scheme val="minor"/>
      </rPr>
      <t>*Este proyecto que esta por vigencia futura. Se encuentra adjudicado en el Contrato de obra 399.y el contrato de interventoría 400. Se inicio la obra, se estableció la vedaría y se realizaron las actas de vecindad.</t>
    </r>
    <r>
      <rPr>
        <b/>
        <sz val="20"/>
        <color theme="1"/>
        <rFont val="Calibri"/>
        <family val="2"/>
        <scheme val="minor"/>
      </rPr>
      <t xml:space="preserve"> 3. CANCHA MULTIPLE DE    BOCACHICA: </t>
    </r>
    <r>
      <rPr>
        <sz val="20"/>
        <color theme="1"/>
        <rFont val="Calibri"/>
        <family val="2"/>
        <scheme val="minor"/>
      </rPr>
      <t>*Este proyecto que esta por vigencia futura. Se encuentra adjudicado en el Contrato de obra 399.y el contrato de interventoría 400. Se inicio la obra, se estableció la vedaría y se realizaron las actas de vecindad.</t>
    </r>
    <r>
      <rPr>
        <b/>
        <sz val="20"/>
        <color theme="1"/>
        <rFont val="Calibri"/>
        <family val="2"/>
        <scheme val="minor"/>
      </rPr>
      <t xml:space="preserve"> </t>
    </r>
    <r>
      <rPr>
        <sz val="20"/>
        <color theme="1"/>
        <rFont val="Calibri"/>
        <family val="2"/>
        <scheme val="minor"/>
      </rPr>
      <t xml:space="preserve">. </t>
    </r>
    <r>
      <rPr>
        <b/>
        <sz val="20"/>
        <color theme="1"/>
        <rFont val="Calibri"/>
        <family val="2"/>
        <scheme val="minor"/>
      </rPr>
      <t>4. CANCHA MULTIPLE. DEL BARRIO EL CARMELO:</t>
    </r>
    <r>
      <rPr>
        <sz val="20"/>
        <color theme="1"/>
        <rFont val="Calibri"/>
        <family val="2"/>
        <scheme val="minor"/>
      </rPr>
      <t>* El proyecto es por recurso propios, se encuentra el proceso precontractual, en estos momentos estamos respondiendo las observaciones de los oferentes.</t>
    </r>
    <r>
      <rPr>
        <b/>
        <sz val="20"/>
        <color theme="1"/>
        <rFont val="Calibri"/>
        <family val="2"/>
        <scheme val="minor"/>
      </rPr>
      <t xml:space="preserve"> 5. CANCHA MULTIPLE. DEL CAMPESTRE 5TA ETAPA:</t>
    </r>
    <r>
      <rPr>
        <sz val="20"/>
        <color theme="1"/>
        <rFont val="Calibri"/>
        <family val="2"/>
        <scheme val="minor"/>
      </rPr>
      <t xml:space="preserve">El proyecto es por recurso propios, se encuentra el proceso precontractual, en estos momentos estamos respondiendo las observaciones de los oferentes. Se realizo una segunda Socialización del Proyecto a la nueva JAC. </t>
    </r>
    <r>
      <rPr>
        <b/>
        <sz val="20"/>
        <color theme="1"/>
        <rFont val="Calibri"/>
        <family val="2"/>
        <scheme val="minor"/>
      </rPr>
      <t xml:space="preserve">
.</t>
    </r>
  </si>
  <si>
    <r>
      <rPr>
        <b/>
        <sz val="20"/>
        <color theme="1"/>
        <rFont val="Calibri"/>
        <family val="2"/>
        <scheme val="minor"/>
      </rPr>
      <t>1.ESTADIO DE FUTBOL SAN FERNANDO :*</t>
    </r>
    <r>
      <rPr>
        <sz val="20"/>
        <color theme="1"/>
        <rFont val="Calibri"/>
        <family val="2"/>
        <scheme val="minor"/>
      </rPr>
      <t xml:space="preserve">El proyecto de construcción con el contrato 399. El avance podemos observar, es la demolición de muros de gradería, retiro de arena demolición piso a la ampliación del área de juego. 2.10% de avance de obra... </t>
    </r>
    <r>
      <rPr>
        <b/>
        <sz val="20"/>
        <color theme="1"/>
        <rFont val="Calibri"/>
        <family val="2"/>
        <scheme val="minor"/>
      </rPr>
      <t>2. CANCHA MULTIPLE LA BOMBONERA:</t>
    </r>
    <r>
      <rPr>
        <sz val="20"/>
        <color theme="1"/>
        <rFont val="Calibri"/>
        <family val="2"/>
        <scheme val="minor"/>
      </rPr>
      <t>El proyecto de construcción con el contrato 399. El avance podemos observar, el cerramiento del arrea de trabajo es la demolición de muros de cerramiento y cimiento de este retiro las arquerías.  El avance de obra es de 2.55%..</t>
    </r>
    <r>
      <rPr>
        <b/>
        <sz val="20"/>
        <color theme="1"/>
        <rFont val="Calibri"/>
        <family val="2"/>
        <scheme val="minor"/>
      </rPr>
      <t xml:space="preserve"> 3. CANCHA MULTIPLE DE    BOCACHICA: </t>
    </r>
    <r>
      <rPr>
        <sz val="20"/>
        <color theme="1"/>
        <rFont val="Calibri"/>
        <family val="2"/>
        <scheme val="minor"/>
      </rPr>
      <t xml:space="preserve"> El proyecto de construcción con el contrato 399. El avance de esta se encuentra en la elaboración del cerra-miento, el desmonte de malla, la demolición de muro y viga cimiento de cerramiento y el retiro de porterías, tendría un avance de obra 1.73%.. </t>
    </r>
    <r>
      <rPr>
        <b/>
        <sz val="20"/>
        <color theme="1"/>
        <rFont val="Calibri"/>
        <family val="2"/>
        <scheme val="minor"/>
      </rPr>
      <t>4. CANCHA MULTIPLE. DEL BARRIO EL CARMELO:</t>
    </r>
    <r>
      <rPr>
        <sz val="20"/>
        <color theme="1"/>
        <rFont val="Calibri"/>
        <family val="2"/>
        <scheme val="minor"/>
      </rPr>
      <t>** El proyecto es por recurso propios, El avance de este proceso es se realizó las evaluaciones de las experiencias de los oferentes. Se realizará las evaluaciones de los off frentes de interventoría</t>
    </r>
    <r>
      <rPr>
        <b/>
        <sz val="20"/>
        <color theme="1"/>
        <rFont val="Calibri"/>
        <family val="2"/>
        <scheme val="minor"/>
      </rPr>
      <t xml:space="preserve"> 5. CANCHA MULTIPLE. DEL CAMPESTRE 5TA ETAPA:</t>
    </r>
    <r>
      <rPr>
        <sz val="20"/>
        <color theme="1"/>
        <rFont val="Calibri"/>
        <family val="2"/>
        <scheme val="minor"/>
      </rPr>
      <t xml:space="preserve">El proyecto es por recurso propios, El avance de este proceso es se realizó las evaluaciones de las experiencias de los oferentes. Se realizará las evaluaciones de los off frentes de interventoría. </t>
    </r>
    <r>
      <rPr>
        <b/>
        <sz val="20"/>
        <color theme="1"/>
        <rFont val="Calibri"/>
        <family val="2"/>
        <scheme val="minor"/>
      </rPr>
      <t xml:space="preserve">6. CAMPO DE SOFTBOL 20 DE ENERO EL POZON: </t>
    </r>
    <r>
      <rPr>
        <sz val="20"/>
        <color theme="1"/>
        <rFont val="Calibri"/>
        <family val="2"/>
        <scheme val="minor"/>
      </rPr>
      <t xml:space="preserve">*Este proyecto en su formulación en fase 3 se encuentra en 90%. Este proyecto se esté adelantado con FUNDACION GRUPO SOCIAL y ECOPETROL. En este momento estamos En revisión de los ESTUDIO ESPECIALES por parte de ECOPETROL y contestarte las observaciones efectuadas por revisión. </t>
    </r>
    <r>
      <rPr>
        <b/>
        <sz val="20"/>
        <color theme="1"/>
        <rFont val="Calibri"/>
        <family val="2"/>
        <scheme val="minor"/>
      </rPr>
      <t xml:space="preserve">7. CANCHA MULTIPLE. DEL BARRIO EL CASTELLANA: </t>
    </r>
    <r>
      <rPr>
        <sz val="20"/>
        <color theme="1"/>
        <rFont val="Calibri"/>
        <family val="2"/>
        <scheme val="minor"/>
      </rPr>
      <t>*Este proyecto en su formulación en fase 3 se encuentra en 95%. El proyecto se encuentra adelantado para ser presentado a la comunidad y para ser entregado el día 4 de Julio.</t>
    </r>
    <r>
      <rPr>
        <b/>
        <sz val="20"/>
        <color theme="1"/>
        <rFont val="Calibri"/>
        <family val="2"/>
        <scheme val="minor"/>
      </rPr>
      <t xml:space="preserve"> 8. CAMPO DE SOFTBOL CAMPESTRE: </t>
    </r>
    <r>
      <rPr>
        <sz val="20"/>
        <color theme="1"/>
        <rFont val="Calibri"/>
        <family val="2"/>
        <scheme val="minor"/>
      </rPr>
      <t>*Este proyecto en su formulación en fase 3 se encuentra en 75%. Este proyecto posee Levantamiento topográfico, tiene Diseño arquitectónico y urbanístico, quedando por definir los detalles estructurales y realizar la solicitud de los certificados.</t>
    </r>
    <r>
      <rPr>
        <b/>
        <sz val="20"/>
        <color theme="1"/>
        <rFont val="Calibri"/>
        <family val="2"/>
        <scheme val="minor"/>
      </rPr>
      <t xml:space="preserve"> 9. CANCHA MULTIPLE. DE LA CURVA DE SAN FRANCISCO:</t>
    </r>
    <r>
      <rPr>
        <sz val="20"/>
        <color theme="1"/>
        <rFont val="Calibri"/>
        <family val="2"/>
        <scheme val="minor"/>
      </rPr>
      <t xml:space="preserve"> *Este proyecto en su formulación en fase 3 se encuentra en 90%. El proyecto arquitectónico, los detalles estructurales, el sistema eléctrico, el presupuesto y la presentación del proyecto fue entregado a la SECRETARIA GENERAL DEL DISTRITO.</t>
    </r>
    <r>
      <rPr>
        <b/>
        <sz val="20"/>
        <color theme="1"/>
        <rFont val="Calibri"/>
        <family val="2"/>
        <scheme val="minor"/>
      </rPr>
      <t xml:space="preserve"> 10. CAMPO DE SOFTBOL DEL BARRIO LOS CARACOLES:</t>
    </r>
    <r>
      <rPr>
        <sz val="20"/>
        <color theme="1"/>
        <rFont val="Calibri"/>
        <family val="2"/>
        <scheme val="minor"/>
      </rPr>
      <t xml:space="preserve"> *Este proyecto en su formulación en fase 3 se encuentra en 65%. Este proyecto tiene Levantamiento Topográfico, se solicitaron las certificaciones pertinentes Se inicio un anteproyecto arquitectónico. Este proyecto se está estructurando para ser entregado a las JAC en el mes agosto.</t>
    </r>
    <r>
      <rPr>
        <b/>
        <sz val="20"/>
        <color theme="1"/>
        <rFont val="Calibri"/>
        <family val="2"/>
        <scheme val="minor"/>
      </rPr>
      <t>11.CANCHA MULTIPLE. DEL LIBANO PLAYAS DE ACAPULCO:*</t>
    </r>
    <r>
      <rPr>
        <sz val="20"/>
        <color theme="1"/>
        <rFont val="Calibri"/>
        <family val="2"/>
        <scheme val="minor"/>
      </rPr>
      <t>Este proyecto en su formulación en fase 3 se encuentra en 60%. Este proyecto se encuentra adelantado Levantamiento Arquitectónico, Diseño arquitectónico, y presupuesto preliminar</t>
    </r>
    <r>
      <rPr>
        <b/>
        <sz val="20"/>
        <color theme="1"/>
        <rFont val="Calibri"/>
        <family val="2"/>
        <scheme val="minor"/>
      </rPr>
      <t>.12. CAMPO DE SOFTBOL DEL BARRIO EL SOCORRO JUSTO DE AVILA :</t>
    </r>
    <r>
      <rPr>
        <sz val="20"/>
        <color theme="1"/>
        <rFont val="Calibri"/>
        <family val="2"/>
        <scheme val="minor"/>
      </rPr>
      <t>*Este proyecto en su formulación en fase 3 se encuentra en 70%. Este proyecto posee Levantamiento topográfico, tiene Diseño arquitectónico y urbanístico, quedando por definir los detalles estructurales y realizar la solicitud de los certificados.</t>
    </r>
    <r>
      <rPr>
        <b/>
        <sz val="20"/>
        <color theme="1"/>
        <rFont val="Calibri"/>
        <family val="2"/>
        <scheme val="minor"/>
      </rPr>
      <t xml:space="preserve"> 13. PISTA DE PATINAJE DEL CAMPESTRE :
*</t>
    </r>
    <r>
      <rPr>
        <sz val="20"/>
        <color theme="1"/>
        <rFont val="Calibri"/>
        <family val="2"/>
        <scheme val="minor"/>
      </rPr>
      <t>Este proyecto en su formulación en fase 3 se encuentra en 100%. Este proyecto se encuentra formulado para la reparación de la pista, con especificaciones y presupuesto del proyecto.</t>
    </r>
    <r>
      <rPr>
        <b/>
        <sz val="20"/>
        <color theme="1"/>
        <rFont val="Calibri"/>
        <family val="2"/>
        <scheme val="minor"/>
      </rPr>
      <t xml:space="preserve"> 14. PISTA DE PATINAJE DEL CENTENARIO:  </t>
    </r>
    <r>
      <rPr>
        <sz val="20"/>
        <color theme="1"/>
        <rFont val="Calibri"/>
        <family val="2"/>
        <scheme val="minor"/>
      </rPr>
      <t>Este proyecto en su formulación en fase 3 se encuentra en 100%. Este proyecto se encuentra formulado para la reparación de la pista, con especificaciones y presupuesto del proyecto adicional se diseñaron unas bancas de madera plástica como parte integral del proyecto y se realizó presentación y visita de obra del proyecto de las bancas y barandas a los funcionarios de ESSENTIA. 
.</t>
    </r>
  </si>
  <si>
    <r>
      <t>Para este período se avanzo en los siguientes escenarios :</t>
    </r>
    <r>
      <rPr>
        <b/>
        <sz val="20"/>
        <color theme="1"/>
        <rFont val="Calibri"/>
        <family val="2"/>
        <scheme val="minor"/>
      </rPr>
      <t>1.ESTADIO DE FUTBOL SAN FERNANDO :</t>
    </r>
    <r>
      <rPr>
        <sz val="20"/>
        <color theme="1"/>
        <rFont val="Calibri"/>
        <family val="2"/>
        <scheme val="minor"/>
      </rPr>
      <t>*El proyecto de construcción con el contrato 399. El avance podemos observar la fundidas de las ampliaciones del área de juego raspado de muros, evaluación de los baños de los camerinos. 8.05% de avance de obra.</t>
    </r>
    <r>
      <rPr>
        <b/>
        <sz val="20"/>
        <color theme="1"/>
        <rFont val="Calibri"/>
        <family val="2"/>
        <scheme val="minor"/>
      </rPr>
      <t xml:space="preserve"> 2. CANCHA MULTIPLE LA BOMBONERA:</t>
    </r>
    <r>
      <rPr>
        <sz val="20"/>
        <color theme="1"/>
        <rFont val="Calibri"/>
        <family val="2"/>
        <scheme val="minor"/>
      </rPr>
      <t>El proyecto de construcción con el contrato 399. El avance podemos observar la elaboración de cimiento de las grade-rías, viga de contorno del área de juego se inició la fundida de la placa área de juego El avance de obra es de 11.57%..</t>
    </r>
    <r>
      <rPr>
        <b/>
        <sz val="20"/>
        <color theme="1"/>
        <rFont val="Calibri"/>
        <family val="2"/>
        <scheme val="minor"/>
      </rPr>
      <t>3 CANCHA MULTIPLE DE    BOCACHICA:</t>
    </r>
    <r>
      <rPr>
        <sz val="20"/>
        <color theme="1"/>
        <rFont val="Calibri"/>
        <family val="2"/>
        <scheme val="minor"/>
      </rPr>
      <t xml:space="preserve"> El proyecto de construcción con el contrato 399. El avance de inhalación de cerramiento, logística de materiales en obra y contratación del personal de obra , tendría un avance de obra  1.89%.</t>
    </r>
    <r>
      <rPr>
        <b/>
        <sz val="20"/>
        <color theme="1"/>
        <rFont val="Calibri"/>
        <family val="2"/>
        <scheme val="minor"/>
      </rPr>
      <t xml:space="preserve"> 4. CANCHA MULTIPLE. DEL BARRIO EL CARMELO:.</t>
    </r>
    <r>
      <rPr>
        <sz val="20"/>
        <color theme="1"/>
        <rFont val="Calibri"/>
        <family val="2"/>
        <scheme val="minor"/>
      </rPr>
      <t xml:space="preserve">* El proyecto es por recurso propios, se encuentra en el pe-riodo precontractual y su avance a la fecha; tenemos con-trato de obra No 458-2023 se está definiendo la interventoría. </t>
    </r>
    <r>
      <rPr>
        <b/>
        <sz val="20"/>
        <color theme="1"/>
        <rFont val="Calibri"/>
        <family val="2"/>
        <scheme val="minor"/>
      </rPr>
      <t>5. CANCHA MULTIPLE. DEL CAMPESTRE 5° ETAPA:</t>
    </r>
    <r>
      <rPr>
        <sz val="20"/>
        <color theme="1"/>
        <rFont val="Calibri"/>
        <family val="2"/>
        <scheme val="minor"/>
      </rPr>
      <t>* El proyecto es por recurso propios, se encuentra en el pe-riodo precontractual y su avance a la fecha; tenemos con-trato de obra No 458-2023 se está definiendo la interventoría. En lo concerniente al Proyecto CAMPO DE SOFTBOLL TIERRA BAJA :* LA SUBSANACION fue entregado de cuadro a los compromisos pactados, el componente técnico el viernes pasado.  En estos momentos Elisa Bárcenas ha tenido unos inconvenientes
 con la plataforma en el proceso de radicación y la ha estado apoyando Fabricio Castellón desde la Secretaría de Planeación Distrital. Estamos atentos a su confirmación quedo listo a Julio 27 del .2023.</t>
    </r>
  </si>
  <si>
    <r>
      <t xml:space="preserve">Para el mes de agosto de 2023 ,  se realizaron avances en las obras como: ESTADIO DE FUTBOL DE SAN FERNANDO: El proyecto de construcción con el contrato 399. El avance podemos observar se encuentra hasta el 29 de agosto del 2023 es del 32.28%. Podemos observar avances en sus. actividades; fundidas de placa, de ampliaciones del área de juego, raspado de muros, inícianos de trabajos en los camerinos, el urbanismo en parqueaderos,CANCHA MÚLTIPLE  LA BOMBIONERA:El proyecto de construcción con el contrato 399. El avance podemos observar se encuentra hasta el 29 de agosto del 2023 es del 38.88% Se encuentra adelantado la placa de juego, la cimentación de las graderías, el inicio de la conformación del urbanismo. CANCHA MÚLTIPLE DE BOCACHICA:El proyecto de construcción con el contrato 399. El avance podemos observar se encuentra hasta el 29 de agosto del 2023 es del 4.19%. destacándose mayormente el relleno del área de juego. CANCHA MÚLTIPLE DEL CARMELO:El proyecto es por recurso propios, Se encuentra inicio de obra, el día 28 de agosto del 2023, con el contrato de obra 458-2023 con la empresa PM-IA SAS, y el contrato de interventoría 461-2023 C.I.A. PROFESIONALES INGENIERIA SAS. CANCHA MÚLTIPLE DEL CAMPESTRE:El proyecto es por recurso propios, Se encuentra inicio de obra, el día 28 de agosto del 2023, con el contrato de obra 458-2023 con la empresa PM-IA SAS, y el contrato de interventoría 461-2023 C.I.A. PROFESIONALES INGENIERIA SAS..CAMPO DE SOFTBOL DE TIERRA BAJA: 
Se da continuidad a los trabajos de subsanación y/o Actualización de documentos del proyecto conforme a las recomendaciones emitidas en el concepto de viabilidad de Min Deportes. Se coordina y realiza mesa de trabajo con el Ing. Juan Carlos García del MinMinas con el objetivo de hacer una revisión previa a los ajustes en la información y así lograr concretar una última revisión con los funcionarios de Min Deportes. Se valida los ajustes del presupuesto de obras + cronograma + anexos técnicos haciendo las aclaraciones correspondientes, a su vez, se efectúa el barrido a cada componente: Estudios de Topografía, Arquitectónico, Eléctricos, Estructurales, Hidro-Sanitarios, Geotécnico, Memorias de Cálculos y las respectivas certificaciones.
Por parte de MinMinas se obtiene el aval de manera verbal coordinando así, la mesa de trabajo con la Arq. Margarita Hernández de Min Deportes. Se lleva a cabo esta con la asistencia de funcionarios de la secretaria de Planeación Distrital, el equipo formulador del proyecto de la Oficina de Infraestructura IDER y Elisa Bárcenas de Of. de Planeación IDER haciendo revisión de todos los componentes.
Posterior a esto, se hacen los ajustes a las recomendaciones de Min Deporte y se entrega toda la información actualizada y de manera organizada para que actualizar el MGA, el documento técnico y así transferir el proyecto a la secretaria de Planeación.  </t>
    </r>
    <r>
      <rPr>
        <b/>
        <sz val="20"/>
        <color theme="1"/>
        <rFont val="Calibri"/>
        <family val="2"/>
        <scheme val="minor"/>
      </rPr>
      <t xml:space="preserve">CAMPO DE SOFTBOLL DE TIERRA BAJA: </t>
    </r>
    <r>
      <rPr>
        <sz val="20"/>
        <color theme="1"/>
        <rFont val="Calibri"/>
        <family val="2"/>
        <scheme val="minor"/>
      </rPr>
      <t>Se da continuidad a los trabajos de subsanación y/o Actualización de documentos del proyecto conforme a las recomendaciones emitidas en el concepto de viabilidad de Min Deportes. Se coordina y realiza mesa de trabajo con el Ing. Juan Carlos García del MinMinas con el objetivo de hacer una revisión previa a los ajustes en la información y así lograr concretar una última revisión con los funcionarios de Min Deportes. Se valida los ajustes del presupuesto de obras + cronograma + anexos técnicos haciendo las aclaraciones correspondientes, a su vez, se efectúa el barrido a cada componente: Estudios de Topografía, Arquitectónico, Eléctricos, Estructurales, Hidro-Sanitarios, Geotécnico, Memorias de Cálculos y las respectivas certificaciones.
Por parte de MinMinas se obtiene el aval de manera verbal coordinando así, la mesa de trabajo con la Arq. Margarita Hernández de Min Deportes. Se lleva a cabo esta con la asistencia de funcionarios de la secretaria de Planeación Distrital, el equipo formulador del proyecto de la Oficina de Infraestructura IDER y Elisa Bárcenas de Of. de Planeación IDER haciendo revisión de todos los componentes.
Posterior a esto, se hacen los ajustes a las recomendaciones de Min Deporte y se entrega toda la información actualizada y de manera organizada para que actualizar el MEGA, el documento técnico y así transferir el proyecto a la secretaria de Planeación</t>
    </r>
  </si>
  <si>
    <r>
      <rPr>
        <b/>
        <u/>
        <sz val="16"/>
        <color theme="1"/>
        <rFont val="Calibri"/>
        <family val="2"/>
        <scheme val="minor"/>
      </rPr>
      <t>ESTADIO DE FUTBOL DE SAN FERNANDO: 
*</t>
    </r>
    <r>
      <rPr>
        <sz val="16"/>
        <color theme="1"/>
        <rFont val="Calibri"/>
        <family val="2"/>
        <scheme val="minor"/>
      </rPr>
      <t>El proyecto de construcción con el contrato 399. Y de in-terventoría 400; con un avance de ejecución del 50.2% Se están realizando fundida de placas de canal de evacuación de aguas lluvias, nivelación del asfalto del campo de juego, raspado y estuco de muro cerramiento, elaboración de ur-banismo. Mejoramiento de camerinos y baños de jugado-res, y mejoramiento de baños públicos.</t>
    </r>
    <r>
      <rPr>
        <b/>
        <u/>
        <sz val="16"/>
        <color theme="1"/>
        <rFont val="Calibri"/>
        <family val="2"/>
        <scheme val="minor"/>
      </rPr>
      <t>CANCHA MULTIPLE LA BOMBONERA.:</t>
    </r>
    <r>
      <rPr>
        <b/>
        <sz val="16"/>
        <color theme="1"/>
        <rFont val="Calibri"/>
        <family val="2"/>
        <scheme val="minor"/>
      </rPr>
      <t xml:space="preserve"> </t>
    </r>
    <r>
      <rPr>
        <sz val="16"/>
        <color theme="1"/>
        <rFont val="Calibri"/>
        <family val="2"/>
        <scheme val="minor"/>
      </rPr>
      <t>El proyecto de construcción con el contrato 399. Y de inter-ventoría 400; con un avance de ejecución del 57.8% Po-demos observar avances en sus. actividades; se fundió el total de la placa de juego. Se inicio la instalación de la ma-lla de cerramiento,  las bancas y el urbanismo.</t>
    </r>
    <r>
      <rPr>
        <b/>
        <u/>
        <sz val="16"/>
        <color theme="1"/>
        <rFont val="Calibri"/>
        <family val="2"/>
        <scheme val="minor"/>
      </rPr>
      <t>CANCHA MULTIPLE DE BOCACHICA :E</t>
    </r>
    <r>
      <rPr>
        <sz val="16"/>
        <color theme="1"/>
        <rFont val="Calibri"/>
        <family val="2"/>
        <scheme val="minor"/>
      </rPr>
      <t xml:space="preserve">l proyecto de construcción con el contrato 399 Y de inter-ventoría 400; con un avance de ejecución del 44,5% el avance de las actividades actual es: la fundida de la placa del campo de juego en un 70%, la instalación de poste de cerramiento. </t>
    </r>
    <r>
      <rPr>
        <b/>
        <u/>
        <sz val="16"/>
        <color theme="1"/>
        <rFont val="Calibri"/>
        <family val="2"/>
        <scheme val="minor"/>
      </rPr>
      <t xml:space="preserve">CANCHA MULTIPLE EL CARMELO : </t>
    </r>
    <r>
      <rPr>
        <sz val="16"/>
        <color theme="1"/>
        <rFont val="Calibri"/>
        <family val="2"/>
        <scheme val="minor"/>
      </rPr>
      <t>* El proyecto es por recursos propios, con el contrato de obra 458-2023 y el contrato de interventoría 461-2023. con un avance de ejecución del 14% Podemos observar en obras de replanteó y relleno del arrea de juego figurados de hierro para las vigas de cerramiento..</t>
    </r>
    <r>
      <rPr>
        <b/>
        <u/>
        <sz val="16"/>
        <color theme="1"/>
        <rFont val="Calibri"/>
        <family val="2"/>
        <scheme val="minor"/>
      </rPr>
      <t xml:space="preserve">CANCHA MÚLTIPLE DEL CAMPESTRE:  </t>
    </r>
    <r>
      <rPr>
        <sz val="16"/>
        <color theme="1"/>
        <rFont val="Calibri"/>
        <family val="2"/>
        <scheme val="minor"/>
      </rPr>
      <t xml:space="preserve">* El proyecto es por recursos propios, con el contrato de obra 458-2023 y el contrato de interventoría 461-2023. con un avance de ejecución del 12%Podemos observar en obras de replanteó y relleno del arrea de juego figurados de hierro para las vigas de cerramiento. </t>
    </r>
    <r>
      <rPr>
        <b/>
        <u/>
        <sz val="16"/>
        <color theme="1"/>
        <rFont val="Calibri"/>
        <family val="2"/>
        <scheme val="minor"/>
      </rPr>
      <t xml:space="preserve">CAMPO DE SOFTBOL 20 DE ENERO EL POZON:  </t>
    </r>
    <r>
      <rPr>
        <sz val="16"/>
        <color theme="1"/>
        <rFont val="Calibri"/>
        <family val="2"/>
        <scheme val="minor"/>
      </rPr>
      <t>Este proyecto en su formulación en fase 3 se encuentra en 95%. Este proyecto se esté adelantado con FUNDACION GRUPO SOCIAL será entregado al IDER en la primera se-mana de agosto, de parte de ECOPETROL se encuentra a espera del proyecto final de FUNDACION MAGDALENA. Para realizar la carta de intención de financiamiento. C</t>
    </r>
    <r>
      <rPr>
        <b/>
        <u/>
        <sz val="16"/>
        <color theme="1"/>
        <rFont val="Calibri"/>
        <family val="2"/>
        <scheme val="minor"/>
      </rPr>
      <t>ANCHA MÚLTIPLE DEL LIBANO PLAYAS DE ACAPULCO:</t>
    </r>
    <r>
      <rPr>
        <sz val="16"/>
        <color theme="1"/>
        <rFont val="Calibri"/>
        <family val="2"/>
        <scheme val="minor"/>
      </rPr>
      <t xml:space="preserve"> * El proyecto es por incorporación, con el contrato de obra 466-2023 con el CONSORCIO MEJORAMIENTO HISTO-RICO y el contrato de interventoría 469-2023.CON LA FIR-MA 2L PROYECTOS SAS. Se dará inicio a la obra el día 3 de octubre del 2023. </t>
    </r>
    <r>
      <rPr>
        <b/>
        <u/>
        <sz val="16"/>
        <color theme="1"/>
        <rFont val="Calibri"/>
        <family val="2"/>
        <scheme val="minor"/>
      </rPr>
      <t xml:space="preserve">CAMPO DE SOFTBOL DEL BARRIO EL SOCORRO JUSTO DE AVILA:  </t>
    </r>
    <r>
      <rPr>
        <sz val="16"/>
        <color theme="1"/>
        <rFont val="Calibri"/>
        <family val="2"/>
        <scheme val="minor"/>
      </rPr>
      <t>* El proyecto es por incorporación, con el contrato de obra 466-2023 con el CONSORCIO MEJORAMIENTO HISTO-RICO y el contrato de interventoría 469-2023.CON LA FIR-MA 2L PROYECTOS SAS. Se dará inicio a la obra el día 3 de octubre del 2023.</t>
    </r>
    <r>
      <rPr>
        <b/>
        <u/>
        <sz val="16"/>
        <color theme="1"/>
        <rFont val="Calibri"/>
        <family val="2"/>
        <scheme val="minor"/>
      </rPr>
      <t xml:space="preserve">PISTA DE PATINAJE DEL CAMPESTRE  </t>
    </r>
    <r>
      <rPr>
        <sz val="16"/>
        <color theme="1"/>
        <rFont val="Calibri"/>
        <family val="2"/>
        <scheme val="minor"/>
      </rPr>
      <t>* El proyecto es por incorporación, con el contrato de obra 466-2023 con el CONSORCIO MEJORAMIENTO HISTO-RICO y el contrato de interventoría 469-2023.CON LA FIR-MA 2L PROYECTOS SAS. Se dará inicio a la obra el día 3 de octubre del 2023.   ASI COMO TAMBIÉN ESTOS ESCENARIOS SE LES DARÁ INICIO EL 3 DE OCTUBRE DE 2023 JUNTO CON LOS ANTERIORES, COMO LO SON:  PISTA DE PATINAJE DEL CENTENARIO, CAMPO DE SOFTBOL DEL LA BOQUILLA, CAMPO DE SOFTBOL DEL BARRIO SAN FRANCISCO, CAMPO DE SOFTBOL DANIEL ORTIZ  LOS BRAVITOS, POLIDEPORTIVO FLOR DEL CAMPO, CANCHA MULTIPLES DEL BARRIO LOS CERROS</t>
    </r>
  </si>
  <si>
    <t xml:space="preserve">ESTADIO DE FUTBOL SAN FERNANDO:*El proyecto de construcción con el contrato 399. Y de interventoría 400; con un avance de ejecución del 71.02% Se inicio la instalación del césped sintético, se está realizando el reparcheo  de los desniveles del terreno de juego. Reparación de muros interior y exteriores, instalación de cielo Razo reparación de la estructura metálica,CANCHA MULTIPLE LA BOMBONERA: El proyecto de construcción con el contrato 399. Y de interventoría 400; con un avance de ejecución del 82.04% el avance este marcado por la culminación de la instalación del cerramiento, y la fundidas del urbanismo, fundida de bancas,CANCHA MULTIPLE DE    BOCACHICA:El proyecto de construcción con el contrato 399 Y de interventoría 400; con un avance de ejecución del 81.03% el avance se encuentra la instalación del cerramiento, la fundidas de lo andenes y bancas del urbanismo y la instalación eléctrica,CANCHA MULTIPLE. DEL BARRIO EL CARMELO: * El proyecto es por recursos propios, con el contrato de obra 458-2023 y el contrato de interventoría 461-2023. con un avance de ejecución del 18%. El avance nos marcas instalación de acero para vigas cimiento, formaletería de vigas, instalación de parales para cerramiento, excavación para cimentación de bancas en concreto, armado e instalación de acero para bancas. CANCHA MULTIPLE. DEL CAMPESTRE 5° ETAPA.: * El proyecto es por recursos propios, con el contrato de obra 458-2023 y el contrato de interventoría 461-2023. con un avance de ejecución del 23%. El avances nos muestra figurado y armado de acero para vigas de cimentación, instalación de parales para malla de cerramiento alto impacto, instalación de segmento de malla, excavación de viga perimetral sur y fundido de vigas, demolición de gradería.
</t>
  </si>
  <si>
    <t>AVANCE LINEA ESTRATEGICA</t>
  </si>
  <si>
    <t>AVANCE PROMEDIO SEGÚN PROYECTOS</t>
  </si>
  <si>
    <r>
      <rPr>
        <b/>
        <u/>
        <sz val="20"/>
        <color theme="1"/>
        <rFont val="Calibri"/>
        <family val="2"/>
        <scheme val="minor"/>
      </rPr>
      <t>Nota :</t>
    </r>
    <r>
      <rPr>
        <sz val="20"/>
        <color theme="1"/>
        <rFont val="Calibri"/>
        <family val="2"/>
        <scheme val="minor"/>
      </rPr>
      <t xml:space="preserve"> La apropiaciòn  del rubro "CONSERVACIÓN , MANTENIMIENTO Y MEJORAMIENTO DE LOS ESCENARIOS DEPORTIVOS DE LA CIUDAD COMO ESTRATEGIA DE PRESERVACIÓN DEL PATRIMONIO MATERIAL DEL DISTRITO DE   CARTAGENA DE INDIAS" varia por la adiciòn de las vigencias futuras ordinarias mediante Acuerdo Distrital No. 1044 del 12 de diciembre de 28 de 2022 - Resoluciòn No.02 del 6 de enero de 2023.</t>
    </r>
  </si>
  <si>
    <r>
      <rPr>
        <b/>
        <sz val="24"/>
        <color theme="1"/>
        <rFont val="Calibri"/>
        <family val="2"/>
        <scheme val="minor"/>
      </rPr>
      <t xml:space="preserve">Nota: </t>
    </r>
    <r>
      <rPr>
        <sz val="24"/>
        <color theme="1"/>
        <rFont val="Calibri"/>
        <family val="2"/>
        <scheme val="minor"/>
      </rPr>
      <t>Se observa el incremento en la apropiación definitiva debido a la incoporación a través del Acuerdo No. 120  del 23 de mayo de 2023 , el Decreto No. 0726 del 24 de mayo de 2023 y la  Resolución No. 150 del 29 de mayo de 2023.</t>
    </r>
  </si>
  <si>
    <t>Nota*: Se observa el incremento en la apropiación definitiva debido a la incorporación a través del Acuerdo No. 120  del 23 de mayo de 2023 , el Decreto No. 0726 del 24 de mayo de 2023 y la  Resolución No. 150 del 29 de mayo de 2023, Acuerdo No. 127 del 8 de agosto de  2023, el Decreto No. 1107 del 14 de agosto de 2023 y la Resolución No. 241 del 18 de Agosto de 2023</t>
  </si>
  <si>
    <t xml:space="preserve">Pilar Transversal  Año 2023 </t>
  </si>
  <si>
    <t xml:space="preserve">Jòvenes participando y salvando a Cartagena </t>
  </si>
  <si>
    <t>Nùmero de Jóvenes participando en espacios culturales, deportivos y de acciones de cultura de paz.</t>
  </si>
  <si>
    <t xml:space="preserve">Nùmero </t>
  </si>
  <si>
    <t xml:space="preserve">20.000 los jóvenes que
participan en espacios
culturales, deportivos
y acciones de cultura
de paz. </t>
  </si>
  <si>
    <t>Meta IDER 4 AÑOS: 6667</t>
  </si>
  <si>
    <t>6000 PARA 2023 TRES SECRETARÍAS (Participación, IPCC - IDER)</t>
  </si>
  <si>
    <t>Esta meta de 6.000 jòvenes para la vigencia 2023 es en cojunto con la Secretaria de Participaciòn Ciudadana,  el IPCC y el IDER, a travès de las estrategias  de Hàbitos y Estilos de Vida Saludable y Recreaciòn Comunitaria el IDER logrò  beneficiamos a 1.551 jòvenes en este primer trimestre de 2023. Se evaluará  trimestralmente.</t>
  </si>
  <si>
    <t>Tomado de los programas y estrategias del Area de Recreación y Deportes de enero a agosto  de  2023.</t>
  </si>
  <si>
    <t xml:space="preserve">Tomado de los programas y estrategias del Area de Recreación y Deportes de enero a agosto  de 2023 (11.726) beneficiados </t>
  </si>
  <si>
    <t xml:space="preserve">Tomado de los programas del Area de Recreación y Deportes de enero a septiembre de 2023. Para esta población de 11.847 jóvenes se realizó una inversión aproximada de $509.406.953 </t>
  </si>
  <si>
    <t xml:space="preserve">Tomado de los programas del Area de Recreación y Deportes de enero a octubre de 2023. Para esta población de 11.847 jóvenes </t>
  </si>
  <si>
    <t>Pilar Transversal  Año 2020</t>
  </si>
  <si>
    <t>Tomado de los programas y estrategias del Area de Recreación y Deportes año 2020</t>
  </si>
  <si>
    <t>Pilar Transversal  Año 2021</t>
  </si>
  <si>
    <t xml:space="preserve">Tomado de los programas y estrategias del Area de Recreación y Deportes año 2021 </t>
  </si>
  <si>
    <t>Pilar Transversal  Año 2022</t>
  </si>
  <si>
    <t>Tomado de los programas y estrategias del Area de Recreación y Deportes año 2022</t>
  </si>
  <si>
    <t>Cabildo Indígena
aplicando la
recuperación de las
prácticas ancestrales</t>
  </si>
  <si>
    <t>No. De cabildo indígenas del
distrito, aplicando la
recuperación de las
prácticas ancestrales</t>
  </si>
  <si>
    <t>1 cabildo indígenas del
distrito, aplicando la
recuperación de las
prácticas ancestrales</t>
  </si>
  <si>
    <t>Meta IDER 4 AÑOS: 1</t>
  </si>
  <si>
    <t>Para esta vigencia  del año 2020 , se atendieron dos cabildos indígenas , en los cuales se beneficiaron a 353  personas.</t>
  </si>
  <si>
    <t>Para esta vigencia  del año 2021 , se atendieron a cinco (5) cabildos indígenas , en los cuales se beneficiaron a 500  personas.(Kaizeba, Kaizerupad, kaizem, Kankuamo, Zhamdero )</t>
  </si>
  <si>
    <t>Para esta vigencia  del año 2022, se atendieron a cinco (5) cabildos indígenas , en los cuales se beneficiaron a 518  personas.(Kaizeba, Kaizerupad, kaizem, Kankuamo, Zhamdero )</t>
  </si>
  <si>
    <t>Para el corte del 30 de junio de 2023 ,  se realizarón actividades con el cabildo indígena de Kaizem  de Membrillar,  donde se beneficiaron a 50 personas . Asi mismo en el mes de julio se realizó  actividades pre-deportivas  el corregimiento de Bayunca con el cabildo Kaizeba(beneficiaron a 50 personas y la comunidad , para un total de 100 personas beneficiadas .</t>
  </si>
  <si>
    <t>1.  Para el corte 31 de agosto de 2023 se realizo una actividad que beneficio 120 niños de 8 a 11 años en el Parque Espíritu del Manglar donde participaron niños de los cabildos del distrito en el marco del Día Internacional de los Pueblos Indígenas. 2-  Para el corte del 30 de junio de 2023 ,  se realizarón actividades con el cabildo indígena de Kaizem  de Membrillar,  donde se beneficiaron a 50 personas . Asi mismo en el mes de julio se realizó  actividades pre-deportivas  el corregimiento de Bayunca con el cabildo Kaizeba(beneficiaron a 50 personas y la comunidad , para un total de 100 personas beneficiadas. Por lo anterior podemos concluir que hemos beneficiado a 220 inddígenas y a dos (2) cabildos.</t>
  </si>
  <si>
    <t>A cortes del mes de septiembre de 2023, se realizó una actividad deportiva con el Cabildo Indigena Zenú Rural de Pasacaballos , donde participaron 40 personas entre jóvenes y adultos. Las actividades resalizadas de junio a septiembre de 2023, fue por un valor de $3.300.000, es importante aclarar que estas actividades son pre-deportiva falta la realización de los Juegos Indígenas en el último trimestre del año 2023 por un valor aproximado de $86.000.000.</t>
  </si>
  <si>
    <t>A cortes del mes de octubre de 2023, Para este periodo se realizó una actividad predeportiva dirigida a el cabildo Kaizereupab (Pasacaballos). Se beneficiaron 40 jóvenes (14 a 17 años). Fecha 25 de septiembre del 2023. 
Se realizo una actividad predeportiva en el cabildo Kaizeba (Bayunca). Se beneficiaron 30 personas (28 a 60 años) principalmente en disciplinas ancestrales, como tiro con arco, corte de leña y pilon. Fecha 21 de octubre del 2023</t>
  </si>
  <si>
    <t>Mantener, adecuar o
mejorar 110 escenarios
deportivos (4 en territorios
afro, negro, Palenquero)
en el distrito de Cartagena
de Indias</t>
  </si>
  <si>
    <t>4 en territorios
afro, negro, Palenquero)
en el distrito de Cartagena
de Indias)
prácticas ancestrales</t>
  </si>
  <si>
    <t xml:space="preserve">A cortes del mes de septiembre de 2023, se están realizando mantenimientos y mejoras de los escenarios deportivos en territorios afro, negro, Palenquero  en el distrito de Cartagena de indias , en los siguientes escenarios:  1- CANCHA MULTIPLE DE BOCACHICA por valor de $519.193.613  </t>
  </si>
  <si>
    <t>CONTROL DE CAMBIOS</t>
  </si>
  <si>
    <t>FECHA</t>
  </si>
  <si>
    <t>DESCRIPCIÓN DEL CAMBIO</t>
  </si>
  <si>
    <t>VERSIÓN</t>
  </si>
  <si>
    <t>Diciembre 29-2022</t>
  </si>
  <si>
    <t>Diseño y Elaboración del formato de captura de información para reporte de avance de plan de desarrollo vigencia 2023</t>
  </si>
  <si>
    <t>1.0</t>
  </si>
  <si>
    <t>CARGO</t>
  </si>
  <si>
    <t>NOMBRE</t>
  </si>
  <si>
    <t>FIRMA</t>
  </si>
  <si>
    <t>ELABORÓ</t>
  </si>
  <si>
    <t>Profesional Especializado codigo 222 grado 41</t>
  </si>
  <si>
    <t>María Bernarda Pérez Carmona</t>
  </si>
  <si>
    <t>REVISÓ</t>
  </si>
  <si>
    <t>Secretario de Planeación Distrital</t>
  </si>
  <si>
    <t>Franklin Amador Hawkins</t>
  </si>
  <si>
    <t>APROBÓ</t>
  </si>
  <si>
    <t xml:space="preserve">REPORTE META PRODUCTO  ACUMULADO NOVIEMBRE  DE 2023 </t>
  </si>
  <si>
    <t xml:space="preserve">AVANCE DE LA META PRODUCTO NOVIEMBRE DE 2023  </t>
  </si>
  <si>
    <t xml:space="preserve">AVANCE META PRODUCTO  CUATRENIO NOVIEMBRE  DE 2023  </t>
  </si>
  <si>
    <r>
      <t>OBSERVACION O RELACIÓN DE EVIDENCIA DE NOVIEMBRE DE  2023-</t>
    </r>
    <r>
      <rPr>
        <b/>
        <sz val="20"/>
        <color theme="8" tint="-0.249977111117893"/>
        <rFont val="Calibri"/>
        <family val="2"/>
        <scheme val="minor"/>
      </rPr>
      <t>https://idergov-my.sharepoint.com/:f:/g/personal/planeacion_ider_gov_co/Eml11OePiWJJn13ezAsCnDgBsULn-u6gcpznQfrNUDmYSQ?e=5XDQIy</t>
    </r>
  </si>
  <si>
    <t xml:space="preserve">Se iniciaron las competencias en los deportes de conjunto de los juegos Intercolegiados vigencia 2023, proyectados a finalizar el 30 de noviembre del 2023, se realizaron los torneos de futbol, voleybol, beisbol, futbol sala, futbol de salón, baloncesto, entre otras para un total de 25 torneos para cada disciplina deportiva. </t>
  </si>
  <si>
    <t>En este período se apoyo la realización de un evento: 1. Medigames 2023. 4 al 11 de noviembre de 2023.</t>
  </si>
  <si>
    <r>
      <rPr>
        <b/>
        <u/>
        <sz val="20"/>
        <color theme="1"/>
        <rFont val="Calibri"/>
        <family val="2"/>
        <scheme val="minor"/>
      </rPr>
      <t xml:space="preserve">En este período se realizaron las siguientes actividades:  </t>
    </r>
    <r>
      <rPr>
        <sz val="20"/>
        <color theme="1"/>
        <rFont val="Calibri"/>
        <family val="2"/>
        <scheme val="minor"/>
      </rPr>
      <t xml:space="preserve">                                                                                                                                                                                                                                                     1.Se realizaron talleres psicosociales donde se desarrollaron temas como la prevención de abuso sexual, conductas suicidas y violencia, en cada uno de los puntos de énfasis, perfeccionamiento e iniciación. 
2.Detección de las necesidades para taller en intervenciones futuras.  
3.	Supervisión y apoyo a prácticas profesionales en psicología (Universidad San buenaventura y Unisinu)
4.	Se realizaron actividades en conmemoración del mes ROSA - Lucha contra el Cáncer de Mamas
5.	Se realizaron actividades en conmemoración del día mundial de la salud mental.                                                                                                                                                        6.	Articulaciones con JAC, Líderes comunales e instituciones educativas para masificación, caracterización y apertura de inscripciones del segundo semestre del año en curso. 
7.	Entrega de implementación, socialización del uso y cuidados de estos. 
8.	Visitas de seguimiento, control y supervisiones a los diferentes núcleos, énfasis y perfeccionamiento.
9.	Intercambio deportivo entre cada nivel de formación. 
10.	Participación en las mesas de articulación interinstitucionales – CIETI, Casa de la Mujer secretaria de participación, Defensoría del Pueblo (violencia de genero), secretaria del Interior. Apoyo y participación a las actividades institucionales, ciclovía dominical 
11.	Apoyo a proceso de Inscripciones y recepciones de documentación de los NNA nuevos que se vinculan para este segundo semestre año 2023
12.	Seguimientos a los casos específicos reportados por los docentes y padres de familia y visitas domiciliarias.                                                                                                                                                                                                                                                                       13. Se cancelo la realización del Cabildo Festival Cultural de la Escuela, se está organizando la realización de las Olimpiadas Deportivas 2023 donde se incluirán las presentaciones del festival cultural.   
</t>
    </r>
  </si>
  <si>
    <t xml:space="preserve">A corte de 30 de noviembre de 2023, se beneficiaron a Trescientos Noventa  y Dos mil Trescientos Dieciséis   (392.316) personas distribuidas entre permisos por el uso de escenarios deportivos otorgados a deportistas, entrenadores , administrativos y aficionados   y  las planillas de ingresos de las personas que registraron a los  unidades deportivas.  </t>
  </si>
  <si>
    <t xml:space="preserve">
ESTADIO DE FUTBOL SAN FERNANDO.: El proyecto de construcción con el contrato 399. Y de interventoría 400; con un avance de ejecución del 58.00% Se inicio la instalación del césped sintético, se está realizando el Re parcheo de los desniveles del terreno de juego. Reparación de muros interior y exteriores, instalación de cielo Razo reparación de la estructura metálica CANCHA MULTIPLE LA BOMBONERA: El proyecto de construcción con el contrato 399. Y de interventoría 400; con un avance de ejecución del 59.00% el avance este marcado por la culminación de la instalación del cerramiento, y la fundidas del urbanismo, fundida de bancas, CANCHA MULTIPLE DE    BOCACHICA: El proyecto de construcción con el contrato 399 Y de interventoría 400; con un avance de ejecución del 71.00% el avance se encuentra la instalación del cerramiento, la fundidas de lo andenes y bancas del urbanismo y la instalación eléctrica, CANCHA MULTIPLE. DEL BARRIO EL CARMELO: Proyecto de reconstrucción de escenario deportivo con el contrato de obra 458-2023, los alcances del proyecto incluyen cerramiento del escenario, alumbrado , placa deportiva, urbanismo, recientemente se realizó adición contractual de un muro de contención para preservar la estabilidad estructural del escenario y sus componentes, el proyecto actualmente se encuentra en un porcentaje ejecutado de 65.55% dentro del cual se encuentran ejecutados los trabajos de placa de juego, vigas de cerramiento, mallas de cerramiento Anti impacto, juegos de graderías, formalete ría de bancas públicas, y urbanismo del escenario, CANCHA MULTIPLE. DEL CAMPESTRE 5° ETAPA: El proyecto es por recursos propios, con el contrato de obra 458-2023 y el contrato de interventoría 461-2023. El proyecto se encuentra actualmente en un porcentaje de ejecución del 64.34% dentro del cual se encuentran ejecutados trabajos de fundido de placa deportiva, instalación de mallas de cerramiento, instalación de postes de alumbrado, trazado y excavación para cimentación de graderías.
</t>
  </si>
  <si>
    <t xml:space="preserve">REPORTE DE ACTIVIDADES DE PROYECTO  DE NOVIEMBRE DE 2023 </t>
  </si>
  <si>
    <t xml:space="preserve">% AVANCE ACTIVIDAD DEL PROYECTO DE NOVIEMBRE DE 2023  </t>
  </si>
  <si>
    <t xml:space="preserve">% AVANCE PROYECTO DE  NOVIEMBRE DE  2023 </t>
  </si>
  <si>
    <t>APROPIACION DEFINITIVA IDER A CORTE  DE NOVIEMBRE DE 2023</t>
  </si>
  <si>
    <t>REPORTE EJECUCIÓN PRESUPUESTAL IDER  A CORTE DE NOVIEMBRE DE 2023</t>
  </si>
  <si>
    <t>% EJECUCIÓN PRESUPUESTAL IDER  A CORTE DE NOVIEMBREE  DE 2023</t>
  </si>
  <si>
    <r>
      <rPr>
        <b/>
        <u/>
        <sz val="20"/>
        <color theme="1"/>
        <rFont val="Calibri"/>
        <family val="2"/>
        <scheme val="minor"/>
      </rPr>
      <t>A corte 20 de noviembre se reporta:</t>
    </r>
    <r>
      <rPr>
        <sz val="20"/>
        <color theme="1"/>
        <rFont val="Calibri"/>
        <family val="2"/>
        <scheme val="minor"/>
      </rPr>
      <t xml:space="preserve">
Se programaron y realizaron unas clínicas deportivas, para mejorar el nivel técnico de los deportistas de las comunidades que hacen parte de los Juego corregimentales, en estos se desarrollaron las siguientes disciplinas: 
Categoría Femenina 
	Sub-12 en Beisbol (200 participantes) ,	Sub-14 en Softbol (200 participantes)
	Sub-17 en Softbol (140 participantes),                categoría Masculina
	Sub-12 en Beisbol (340 participantes)
	Sub-14 en Beisbol (260 participantes)
	Sub-13 en Futbol (380 participantes) 
	Sub-16 en Futbol (400 participantes)                                                                                                                                                                                                                                                                                                </t>
    </r>
    <r>
      <rPr>
        <b/>
        <u/>
        <sz val="20"/>
        <color theme="1"/>
        <rFont val="Calibri"/>
        <family val="2"/>
        <scheme val="minor"/>
      </rPr>
      <t xml:space="preserve"> A corte 20 de noviembre se reporta:</t>
    </r>
    <r>
      <rPr>
        <sz val="20"/>
        <color theme="1"/>
        <rFont val="Calibri"/>
        <family val="2"/>
        <scheme val="minor"/>
      </rPr>
      <t xml:space="preserve">
Se iniciaron los juegos en la fase de precompetencias en los siguientes deportes (fecha 15 de noviembre 2023):  
Futbol de salón masculino (80 participantes)
Futbol infantil masculino (80 participantes) 
Futbol femenino (100 participantes) 
Voleibol femenino infantil (80 participantes) 
Domino masculino mayores (60 participantes) 
Jornada deportiva Infantil (50 participantes en el sector de Boston) 
Se realizó reunión general en la sala de prensa del estadio de futbol Jaime Morón con los delegados de los equipos participantes en los juegos, donde se socializo el desarrollo de los mismos y se aprobaron las precompetencias. 
Se entregó la premiación de todos los equipos campeones, subcampeones, terceros y mejores jugadores de la vigencia 2022                                                                                                                            </t>
    </r>
    <r>
      <rPr>
        <u/>
        <sz val="20"/>
        <color theme="1"/>
        <rFont val="Calibri"/>
        <family val="2"/>
        <scheme val="minor"/>
      </rPr>
      <t xml:space="preserve"> </t>
    </r>
    <r>
      <rPr>
        <b/>
        <u/>
        <sz val="20"/>
        <color theme="1"/>
        <rFont val="Calibri"/>
        <family val="2"/>
        <scheme val="minor"/>
      </rPr>
      <t xml:space="preserve">A corte 20 de noviembre se reporta: </t>
    </r>
    <r>
      <rPr>
        <sz val="20"/>
        <color theme="1"/>
        <rFont val="Calibri"/>
        <family val="2"/>
        <scheme val="minor"/>
      </rPr>
      <t xml:space="preserve">
Se iniciaron las actividades ancestrales el día 19 de noviembre en los cabildos KAIZEM (Membrillal) desarrollando actividades de futbol de salón (36 participantes) pilón (8 participantes), corte de leña (8 participantes), tiro al Arco (8 participantes)  y Kaizeba de Bayunca, desarrollando actividades de futbol de salón (36 participantes) pilón (8 participantes), corte de leña (7 participantes), tiro al Arco (7 participantes).
Se tiene programado realizar estas actividades en los cabildos Kaizerupab (pasacaballo) y Kankuamo (villa corelca) el próximo mes de diciembre hasta finalizar la vigencia 2023. 
</t>
    </r>
  </si>
  <si>
    <r>
      <rPr>
        <b/>
        <u/>
        <sz val="16"/>
        <color theme="1"/>
        <rFont val="Calibri"/>
        <family val="2"/>
        <scheme val="minor"/>
      </rPr>
      <t>A corte 20 de noviembre se reporta</t>
    </r>
    <r>
      <rPr>
        <sz val="16"/>
        <color theme="1"/>
        <rFont val="Calibri"/>
        <family val="2"/>
        <scheme val="minor"/>
      </rPr>
      <t xml:space="preserve">
Se iniciaron los juegos carcelarios vigencia 2023 el día 26 de octubre y finalizaran el día  29 de diciembre, donde se han realizaron competencias de voleibol (48 participantes), juegos de mesas (30 participantes) –  Cárcel Distrital de Mujeres 
El día 4 octubre se iniciaron las competencias con los jóvenes de responsabilidad penal con las competencias y finalizan el 28 de diciembre, con las categorías de golito  (48 participantes) y juegos de mesa (30 participantes) festivales deportivos (40 participantes)  Torneo de Futbol Sala (160 participantes) – Fundación TALID y Fundación Construyendo Ciudad
El día 24 octubre inició las competencias con los juegos carcelarios y finalizaron el 29 diciembre, se realizaron competencias futbol (288 participantes), baloncesto (100 participantes) futbol de salón (300 participantes), juegos de mesa (200 participantes) – Cárcel Distrital de Ternera (Hombres)                                                                                                                   </t>
    </r>
    <r>
      <rPr>
        <b/>
        <u/>
        <sz val="16"/>
        <color theme="1"/>
        <rFont val="Calibri"/>
        <family val="2"/>
        <scheme val="minor"/>
      </rPr>
      <t>A corte de 20 de noviembre se reporta</t>
    </r>
    <r>
      <rPr>
        <sz val="16"/>
        <color theme="1"/>
        <rFont val="Calibri"/>
        <family val="2"/>
        <scheme val="minor"/>
      </rPr>
      <t xml:space="preserve">
Se realizaron actividades pre deportivas de forma regular  con entidades que trabajan con personas con discapacidad con el objetivo de motivarlos, prepararlos  a participar en los próximos Juegos Deportivos de la Discapacidad 2023
Fundación Aluna
Comfenalco
Institución Educativa Antonia Santos 
Institución Educativa Juan Salvador Gaviota
De forma  regular se hace un proceso de entrenamiento deportivo a niños, niñas adolescentes, jóvenes y personas adultas en los deportes de natación y atletismo para la participación a los Juegos Distritales Deportivos de la Discapacidad 2023.
Acompañamiento a la Semana Deportiva en la Fundación El Rosario y Corporación Mente Activa
Entrenamiento de natación con personas con discapacidad para la preparación a los Juegos Distritales de la Discapacidad 2023
Mesa de trabajo con el equipo de Discapacidad del programa de Deporte Social Comunitario para organizar fechas de las programaciones para el desarrollo de los Juegos Distritales de la Discapacidad los cuales quedaron para iniciar el 23 de noviembre del 2023.</t>
    </r>
  </si>
  <si>
    <t xml:space="preserve">No. 8 Para el buen funcionamiento de los escenarios deportivos es necesario contar con los servicios públicos. . Se pagan servicios públicos de 27 y 16 escenarios deportivos para agua y luz respectivamente. A la fecha estamos al día hasta el mes de octubre en estos pagos. N.º 7 : Se realizan intervenciones 30 unidades deportivas (Localidad 1: 83 + Localidad 2: 86 + Localidad 3:97 en términos Mantenimientos Preventivos Recurrentes.  CAMPO DE SOFTBOL DEL BARRIO EL CAMPESTRE: Se inicio las obras y muestra un avance de obra 34.70%. Siendo sus avances por las demoliciones y las excavaciones de muros y graderías, CANCHA MULTIPLE. DEL LIBANO PLAYAS DE ACAPULCO: tiene un avance de ejecución de 74%, marcado por la demolición de muro y el retiro del cerramiento de mallas,
CAMPO DE SOFTBOL DEL BARRIO EL SOCORRO JUSTO DE AVILA: Presenta un avance técnico de 37.71% se encuentran realizando la figurada de hierro de toda la cimentación y la fundida de esta, CAMPO DE SOFTBOL DEL LA BOQUILLA: Presenta un avance técnico de 86% El retiro de la malla existente, y reaparición de la tubería, CAMPO DE BEISBOL INFANTIL DANIEL ORTIZ LOS BRAVITOS: Presenta un avance del 40% Reparación de cubierta de gradería. Desmonte ESTADIO FUTBOL JAIME MORON: Se inicio los trabajos de impermeabilización de la cubierta Presenta un avance técnico de 46%  malla y reparación de los muros, 
CANCHA MULTIPLES DEL BARRIO LOS CERROS: Presenta un avance técnico de 28%, CANCHA MULTIPLES DEL MONSERATE: Presenta un avance del 36.50% Demolición de placa desmonte de malla y demolición de muro cerramiento. Conformación de suelo de placo de juegos, armado de hierro de vigas de cerramiento.
</t>
  </si>
  <si>
    <t>Durante el mes de noviembre se participó en el desarrollo del V Congreso Nacional, IV Congreso Internacional de Entrenamiento Deportivo y el V Simposio de Educación Física en asocio con la Universidad San Buenaventura donde participaron 660 personas (Anexo 1).
También se desarrollo el Taller de Fundamentos Básicos del Futbol en la Iniciación Deportiva con el apoyo del área de deportes y la Escuela de Formación e Iniciación Deportiva – EIFD, donde participaron 163 personas (Anexo 2)
Se realizó el lanzamiento del Sistema de Información del Deporte y la Recreación de Cartagena – SIDR el 14 de noviembre de 2023, con una participación de 150 personas. (Anexo 3)
Se planean eventos de cierre para el mes de diciembre que consisten en la presentación de resultados de los procesos de investigación y presentación de resultados</t>
  </si>
  <si>
    <t>Envío del convenio a la Fundación Universitaria Los Libertadores para su revisión y firma. Se está a la espera de la respuesta.</t>
  </si>
  <si>
    <t>Se esta trabajando en el cuarto segumiento de  los planes institucionales y estratégicos del Decreto No. 612  del 2018 , se públicaran en la primera semana del mes de enero de 2024.</t>
  </si>
  <si>
    <t xml:space="preserve">Se completa la estructuración del Sistema de Información del Deporte y Recreación – SIDR https://ider.gov.co/observatorio-ider/sidr/ 
Lanzamiento del Sistema del Deporte y la Recreación de Cartagena (Anexo 3)
Base de datos publicadas en el portal de datos abiertos de MinTIC https://www.datos.gov.co/Deporte-y-Recreaci-n/Puntos-Actividad-F-sica/maey-wiyf 
</t>
  </si>
  <si>
    <t>Se estructura el articulo “CARACTERIZACIÓN DEL JUEGO TRADICIONAL BATE DE TAPITA EN CARTAGENA” y -	Se estructura el conjunto de datos y el documento de análisis de los espacios territoriales de juego de bate tapita.</t>
  </si>
  <si>
    <t xml:space="preserve">Se encuentra en proceso de edición la revista SINERGIAS 2023. </t>
  </si>
  <si>
    <t xml:space="preserve">Se desarrolló la estrategia en este periodo que va desde 21 de octubre hasta el 20 de noviembre se lograron realizar 5 jornadas recreativas en el distrito de Cartagena, adelantando acciones como lo son: jornadas de recreación en distintos barrios y sensibilizaciones sobre el cáncer infantil de esta manera alcanzamos a realizar:
3- Jornadas recreativas - Beneficiados: 122 personas	 – Mujeres: 86 	       Hombres: 36
2 - Jornadas de sensibilizaciones sobre el cáncer infantil en centros oncológicos - Beneficiados: 121	 – Mujeres: 84 	       Hombres: 37
Alcanzando (243) personas participantes, las cuales (170) fueron Mujeres y (73) Hombres. 
Se pasando de (7788) beneficiados para un acumulado de (8.031). Cumplimiento esta meta de nuestro proyecto de inversión el cual nos pide desarrollar la estrategia Cartagena es de los niños coincidiendo con el marco de tiempo que va desde el 21 octubre hasta el 20 de noviembre, se realizaron (12) jornadas recreativas en diferentes Instituciones Educativas y comunidades del Distrito de Cartagena, llevando nuestra oferta de servicio se realizaron: 
3- Jornadas recreativas en instituciones educativas -Beneficiados: 817 – Mujeres: 460        Hombres: 357
9 - Talleres recreativos en instituciones educativas y comunidades del distrito - Beneficiados: 2.475 – Mujeres: 1.263     Hombres: 1.212
Logramos beneficiar (3.292) personas, de las cuales (1.723) mujeres - (1.569) hombres.
El total acumulado del período aumentó de (19.00) a (22.292)..Persona Mayor Nuevo Comienzo: Esta estrategia va encaminado a una población de personas mayores de 60 años, donde beneficiamos a 100 personas por Proyecto, solicitudes por la comunidad cartagenera   al IDER, brindándoles un día recreativo y la visita a sitios de interés de la Ciudad con la compañía de 4 representantes de la comunidad Todo 
lo canalizamos a través de Centros de Vida, Grupos Organizados Legalmente, JAC clubes asociaciones.
En este periodo se dio cumplimiento a este indicador realizando
 1 jornadas dirigidas al adulto mayor, beneficiando a (120) personas, entre ellas (96) mujeres y (24) hombres, a través de nuestra acción 
Pasando de (4.941) impactados a un total de (5.061) personas mayores beneficiadas. Desde la estrategia Escuela Recreativa en el periodo pasado se beneficiaron 16.924. Personas, en este período (21 de octubre al 20 de noviembre) se realizaron un total de 11 actividades, beneficiando 972 personas. Las sesiones permanentes se mantuvieron la cobertura en 2.446 para un total de acumulado a la fecha 17.896. 
(2446) Beneficiados Sesiones Lúdicas Permanentes:                                              Mujeres: 1.233          Hombres: 1.213
(188)   Beneficiados Estimulación Temprana                                                                 Mujeres:     179           Hombres:        9
(16)   Escuela de padres                                                                                                 Mujeres:      16            Hombres:        0 
(768) Beneficiados Campaña Cuentos que no son Cuentos                                          Mujeres:     534           Hombres:    234
Total, Acumulado 21 de octubre al 20 de noviembre:     972 Beneficiados             Mujeres:    729           Hombres:    243 .     1.	En los encuentros intergeneracionales del Proyecto hemos alcanzado a beneficiar 726 personas asistentes (adolescentes y jóvenes), de los cuales 501 se han inscrito en la plataforma de google Drive. 
a.	del presente periodo (septiembre/octubre) corresponden 				0
2.	En la realización de Escuela para Padres (2)
a.	del presente periodo (octubre/noviembre) corresponden 				18
3.	En la realización del Encuentro Región Caribe
a.	del presente periodo (octubre/noviembre) corresponden			            262	
4.	En la realización de Ángeles Somos
a.	del presente periodo (octubre/noviembre) corresponden			         2.700	
Se pasó de (3.495) impactados a (6.474)
</t>
  </si>
  <si>
    <t xml:space="preserve">Durante este periodo que va desde 21 de octubre hasta el 20 de noviembre realizamos 2 eventos de recreación comunitaria dirigidos a todas las edades.
Entre los eventos realizados tenemos:
 (1) Ciclovía dominical de ciudad (VAS)
22 de octubre - Ciclovía dominical de ciudad (VAS) bajo la temática salud mental – Mes Rosa
 Logrando beneficiar a (1.003) personas -     Mujeres (295)          -      hombres (708) 
19 de noviembre – Se realizó (1) carrera denominada correr por tu sueño Umayor. Realizada en Crespo - Avenida Santander, con un total de personas beneficiando (180) personas        Mujeres (106)       Hombres (74)
Se pasó de (20) eventos de Ciudad con 14.529 personas participantes a 22 eventos con 15.712 beneficiados acumulados a la fecha.
Se puede notar en este informe, realizamos eventos de ciudad, como fue la carrera corre por un sueño de u mayor y también logramos adelantar 1 ciclovias Dominicales, beneficiando a un número considerable de cartageneros.
</t>
  </si>
  <si>
    <t xml:space="preserve">El número acumulado de participantes en eventos de actividad física al período comprendido entre el 21 de octubre y el 20 de noviembre pasó de (23.851) del último informe, a la fecha a (25.851) 
A continuación, se reportan la caracterización de los participantes en las actividades de este periodo (2.000) así:
(1.051) Personas asistentes a 12 eventos de concentración.  Mujeres (996) Hombres (55)
(180)    Personas asistentes a 3 eventos de promoción.         Mujeres (160) Hombres (20)
(312) Personas asistentes a Joven Saludable al Parque Localidad 1. Mujeres (206) Hombres (106)
(457) Personas asistentes a Caminata Saludable, Salida Running y Súper Clase “Muévete por la Diabetes”. Mujeres (413) Hombres (44).               A corte del período del 21 de octubre a 20 de noviembre se realizaron doce (12) Eventos de Concentración.	Se realiza la aclaración de que el número de Eventos de Concentración de 720 es la meta del proyecto del cuatrienio, por lo tanto, por año son 180 Eventos. Entonces como se puede ver la meta del año 2023 esta cumplida, pero se han seguido realizando estas actividades para cubrir los pendientes de años anteriores que por la pandemia del Covid-19 no se pudieron realizar. En el período reportado del 21 de octubre al 20 de noviembre se realizaron dos (2) Eventos de Ciudad, se realizó el día 18 de noviembre Joven Saludable al Parque Localidad 1, en el Parque Espíritu del Manglar, con la presencia de 312 personas, y el mismo día en la Agrupación Parque Heredia se realizó la Súper Clase, Caminata Saludable y Salida Running, donde contamos con la presencia de 457 usuarios de nuestras estrategias.
</t>
  </si>
  <si>
    <t xml:space="preserve">Desde la Estrategia Entornos Saludables en el acumulativo de los periodos pasados se han beneficiado (17.317) personas, en este periodo se generaron 28 actividades, adicionales tenemos las atenciones fijas en los centros penitenciarios y carcelarios con 17 atenciones en el mes entre las instituciones beneficiadas, impactando un total (1.354) personas, distribuidas de la siguiente forma:
(50) Personas asesoradas en organizaciones públicas y privadas, donde se dieron diferentes enfoques como lo son asesorías nutricionales, asesoría y talleres de hábitos y estilos de vida saludables.
(36) Tamizaje Cardiovasculares en las organizaciones públicas y privadas.
(322) Personas impactadas en Campaña de salud “Muévete por la Diabetes” en el marco de la prevención de la diabetes, llevada a cabo en las en organizaciones públicas y centro comercial la Plazuela con asesoría magistral, feria de salud, toma de glucometrías, en donde se tuvo compañía de diferentes entidades públicas y privadas 
(946) Participantes de las Jornadas recreo deportivas y de actividad física en organizaciones públicas y privadas.
A continuación, se reportan la caracterización de los beneficiados de la estrategia así:
Total, de participantes en las actividades 
(766) Mujeres y (588) Hombres.
(245) Víctimas de conflictos que vienen siendo atendidas en CRAV – Centro Regional de Atención a Víctimas,
3 veces a la semana.
(80) Personas nuevas impactadas que están privadas de la libertad, cárcel de hombres y Fundación Talid 3 veces a la semana.
(491)  Persona con discapacidad impactadas por medio de la estrategia “actívate por la inclusión” que promueve la actividad física y recreación adaptada a los diferentes tipos de discapacidad. 
Acumulado total actual: (18.671). . Desde el Programa de Hábitos y Estilos de Vida Saludable, y su Proyecto Mejoramiento de los Estilos de Vida Mediante la Promoción Masiva de una Vida Activa, se pasó de (7.957) usuarios impactados a (8.101), representando un incremento de (144) usuarios nuevos inscritos. Distribuidos de la siguiente manera:
(38) Madrúgale a la Salud  
(78) Noches Saludables     
(0) Caminante Saludable y Actívate Running  
(25) Joven Saludable   
(3) Actívate en el Parque  
Madrúgale a la Salud tenía registrados en el informe anterior (3.059) usuarios, en este periodo se aumenta el número de participantes de nuestra estrategia, (38) usuarios nuevos, dando un acumulado de (3.097) personas beneficiadas desde la Estrategia. Se tienen actualmente 67 puntos activos. El número de puntos activos aumento debido a las nuevas comunidades que se sumaron al programa a través del Convenio Interadministrativo Mindeporte-IDER, los nuevos puntos activos son: La Boquilla Sector Marlinda, La Boquilla Sector Marlinda Centro de Vida, Nuevos Jardines, Ternera Centro de Vida y San Francisco Centro de Vida.
Total de participantes en la estrategia (3.097). Mujeres (2.843) y Hombres (254).
 Mujeres (92%) y Hombres (8%). . Las Estrategias Caminante Saludable y Actívate Running contaba con (515) usuarios, en este periodo no se registraron nuevos inscritos. Se mantienen actualmente las 4 rutas de Caminante Saludable y las 5 de rutas de Actívate Running en las 3 localidades del Distrito de Cartagena de Indias. 
Total de participantes en la estrategia 515.  Mujeres (423) y Hombres (92)
Mujeres (82%) y Hombres (18%)
Noches Saludables registraba (2.993) usuarios, en este periodo se aumenta el número de participantes de nuestra estrategia, (257) usuarios nuevos, dando un acumulado de (3.250). Se tiene 77 puntos activos en la actualidad. El número de puntos activos aumento debido a los nuevas comunidades que se sumaron al programa a través del Convenio Interadministrativo Mindeporte-IDER, los nuevos puntos activos son: Corregimiento de Arroyo de Piedra, Tierra Baja, Zaragocilla Sector El Progreso, Bajos de San Isidro, Ternera Calle del Banquito, La Consolata, El Bosque Sector Manzanillo, Conjunto Residencial Territorio Mío, Parques de Bolívar, Conjunto Residencial Portales de San Fernando III y El Socorro Plan 332, para un total de doce (12) comunidades nuevas dentro del Programa de Hábitos y Estilos de Vida Saludable y su proyecto de Mejoramiento de los Estilos de Vida Mediante la Promoción Masiva.
Total de personas inscritas en la estrategia 3.328. Mujeres (3.215) Hombres (112) y LGBTI+ (1).
Mujeres (97%) Hombres (2,9%) y LGBTI+ (0,03%). Joven Saludable registraba (658) usuarios, en este periodo se aumenta el número de participantes de nuestra estrategia, (25) usuario nuevo, dando un acumulado de (683). Se trabaja actualmente con 20 núcleos en la Estrategia. 
Total de participantes en la estrategia 683. Mujeres (515) y Hombres (168).
Mujeres (75%) y Hombres (25%).. 
</t>
  </si>
  <si>
    <r>
      <rPr>
        <b/>
        <u/>
        <sz val="20"/>
        <color theme="1"/>
        <rFont val="Calibri"/>
        <family val="2"/>
        <scheme val="minor"/>
      </rPr>
      <t>A corte 20 de noviembre se reporta:</t>
    </r>
    <r>
      <rPr>
        <sz val="20"/>
        <color theme="1"/>
        <rFont val="Calibri"/>
        <family val="2"/>
        <scheme val="minor"/>
      </rPr>
      <t xml:space="preserve">
Se inició con el proceso de apoyo a las Organismos Deportivos con el nuevo operador logístico, de acuerdo con las propuestas presentadas por estos, contenidas dentro de sus respectivos cronogramas de actividades. Durante este período
Se han realizado las entregas de estímulos a los siguientes Organismos Deportivos:
1.	Liga de Judo de Bolívar. Gran Nacional de Judo en Cali.
2.	Liga de Gimnasia de Bolívar. Concentración Deportiva en Medellín.
3.	Liga de Tenis de Bolívar. Torneo nacional G2 en Medellín.
4.	Club Deportivo de Natación Titanes. V Campeonato Nacional de Natación Acuatic en Santa Marta.
5.	Club Deportivo de Natación Cachalotes. V Campeonato Nacional de Natación Acuatic en Santa Marta.
6.	Club Deportivo de Natación Anfibius Kam. V Campeonato Nacional de Natación Acuatic en Santa Marta.
7.	Club Deportivo Corporación Deportiva Toty FC. XV Torneo Nacional de Fútbol Femenino en Palmira.                                                                                                                         8.	Club Deportivo de Discapacidad Ícono. Preparación a Juegos Deportivos Nacionales en Montería.
9.	Club Deportivo Ciegos de Cartagena. Preparación a Juegos Deportivos Nacionales en Bucaramanga.
10.	Club Deportivo Élite de Gimnasia. Campeonato Sudamericano de Niveles USAG en Cali.
11.	Club Deportivo de Fútbol Bechara FC. Torneo Regional Femenino en Planeta Rica.                                                                                                                                                                         Se realiza invitación para apoyos y/o estímulos a organismos deportivos 2023. Fase Dos, la cual beneficio a</t>
    </r>
    <r>
      <rPr>
        <b/>
        <u/>
        <sz val="20"/>
        <color rgb="FFFF0000"/>
        <rFont val="Calibri"/>
        <family val="2"/>
        <scheme val="minor"/>
      </rPr>
      <t xml:space="preserve"> </t>
    </r>
    <r>
      <rPr>
        <b/>
        <u/>
        <sz val="20"/>
        <rFont val="Calibri"/>
        <family val="2"/>
        <scheme val="minor"/>
      </rPr>
      <t>15</t>
    </r>
    <r>
      <rPr>
        <sz val="20"/>
        <color theme="1"/>
        <rFont val="Calibri"/>
        <family val="2"/>
        <scheme val="minor"/>
      </rPr>
      <t xml:space="preserve"> organismos deportivos. 
DEPORTIVOS 2023. FASE DOS</t>
    </r>
  </si>
  <si>
    <t xml:space="preserve">Se esta en el proceso de organización y preparación de los eventos del cabildo de EIFD, la clausura de fin de año, las olimpiadas  y los procesos de cierre de todos los niveles.  </t>
  </si>
  <si>
    <t xml:space="preserve">Se  esta trabajando en la  estructuración  y organización  para la  realización de  la clausura de todos núcleos de la  EIFD , el día 28 de diciembre de 2023  en el  Estadio Fúttbol Jaime Morón </t>
  </si>
  <si>
    <r>
      <rPr>
        <b/>
        <u/>
        <sz val="20"/>
        <color theme="1"/>
        <rFont val="Calibri"/>
        <family val="2"/>
        <scheme val="minor"/>
      </rPr>
      <t>A corte 20 de noviembre se realizaron:</t>
    </r>
    <r>
      <rPr>
        <b/>
        <sz val="20"/>
        <color theme="1"/>
        <rFont val="Calibri"/>
        <family val="2"/>
        <scheme val="minor"/>
      </rPr>
      <t xml:space="preserve">
</t>
    </r>
    <r>
      <rPr>
        <sz val="20"/>
        <color theme="1"/>
        <rFont val="Calibri"/>
        <family val="2"/>
        <scheme val="minor"/>
      </rPr>
      <t xml:space="preserve">Se publico la segunda invitación mundialista con la resolución N° 296 de octubre 25 de 2023 por medio de la cual se publica el listado de los atletas clasificados y/o seleccionados para representar a Colombia en los campeonatos mundiales de su respectivo deporte y que tengan previsto desarrollarse entre agosto y diciembre de 2023; para acceder a los apoyos y/o estímulos establecidos. Listado Apoyos Mundialistas de 2 atletas. Link https://ider.gov.co/wp-content/uploads/2023/10/RES.-296-Publicacion-atletas-beneficiados-Padal-Mundial-segunda-invitacion.pdf . A través d ela Resolución No. 333 de 2023 , se realizo el reconocimiento público y exaltación a 4 atletas que se iniciaron  y se desarrollaron deportivamente en la Escuela de Iniciación y Formación Deportiva- EIFD.
</t>
    </r>
  </si>
  <si>
    <t>A corte 20 de noviembre se reporta:
Se inició con el proceso de apoyo a las Organismos Deportivos con el nuevo operador logístico, de acuerdo con las propuestas presentadas por estos, contenidas dentro de sus respectivos cronogramas de actividades. Durante este período
Se han realizado las entregas de estímulos a los siguientes Organismos Deportivos:
1.	Liga de Judo de Bolívar. Gran Nacional de Judo en Cali.
2.	Liga de Gimnasia de Bolívar. Concentración Deportiva en Medellín.
3.	Liga de Tenis de Bolívar. Torneo nacional G2 en Medellín.
4.	Club Deportivo de Natación Titanes. V Campeonato Nacional de Natación Acuatic en Santa Marta.
5.	Club Deportivo de Natación Cachalotes. V Campeonato Nacional de Natación Acuatic en Santa Marta.
6.	Club Deportivo de Natación Anfibius Kam. V Campeonato Nacional de Natación Acuatic en Santa Marta.
7.	Club Deportivo Corporación Deportiva Toty FC. XV Torneo Nacional de Fútbol Femenino en Palmira.                                                                                                                         8.	Club Deportivo de Discapacidad Ícono. Preparación a Juegos Deportivos Nacionales en Montería.
9.	Club Deportivo Ciegos de Cartagena. Preparación a Juegos Deportivos Nacionales en Bucaramanga.
10.	Club Deportivo Élite de Gimnasia. Campeonato Sudamericano de Niveles USAG en Cali.
11.	Club Deportivo de Fútbol Bechara FC. Torneo Regional Femenino en Planeta Rica.                                                                                                                                                                         Se realiza invitación para apoyos y/o estímulos a organismos deportivos 2023. Fase Dos, la cual beneficio a 15 organismos deportivos. 
DEPORTIVOS 2023. FASE DOS</t>
  </si>
  <si>
    <t>Se iniciaron las actividades ancestrales el día 19 de noviembre en los cabildos KAIZEM (Membrillal) desarrollando actividades de futbol de salón (36 participantes) pilón (8 participantes), corte de leña (8 participantes), tiro al Arco (8 participantes)  y Kaizeba de Bayunca, desarrollando actividades de futbol de salón (36 participantes) pilón (8 participantes), corte de leña (7 participantes), tiro al Arco (7 participantes).
Se tiene programado realizar estas actividades en los cabildos Kaizerupab (pasacaballo) y Kankuamo (villa corelca) el próximo mes de diciembre hasta finalizar la vigencia 2023</t>
  </si>
  <si>
    <t>A cortes del mes de ocubre de 2023, se están realizando mantenimientos ,mejoras y reconstrucciones  de los escenarios deportivos en territorios afro, negro, Palenquero  en el distrito de Cartagena de indias , en los siguientes escenarios:  1- CANCHA MULTIPLE DE BOCACHICA por valor de $519.193.613, 2- ESTADIO DE FUTBOL DE SAN FERNANDO por un valor de $3.798.601.056.  3- CANCHA MÚLTIPLE LA BOMBONERA  por un valor de $ 510.108.517  4-CHANCA MÚLTIPLE EL BARRIO EL CARMELO por un valor de $ 426927351. 5- POLIDEPORTIVO FLOR DEL CAMPO por un valor de $112.369.872 . 6- CAMPO DE SOFTBOL DE LA BOQUILLA por un valor de $17.745.309. 7- CAMPO DE SOFTBOL DE SAN FRANCISCO por un valor de $16.440.888. Los valores reportados no incluye interventoria y AUI.</t>
  </si>
  <si>
    <t>A cortes del mes de noviembre  de 2023, se están realizando mantenimientos , mejoras y reconstrucciones de los escenarios deportivos en territorios afro, negro, Palenquero  en el distrito de Cartagena de indias , en el siguiente escenario: 1- CANCHA MÚLTIPLE DEL LIBANO PLAYAS DE ACAPULCO  por un valor de $21.334.962.  Los valores reportados no incluye interventoria y AUI.</t>
  </si>
  <si>
    <t>APROPIACION DEFINITIVA IDER A CORTE  DE DICIEMBRE DE 2023</t>
  </si>
  <si>
    <t>REPORTE EJECUCIÓN PRESUPUESTAL IDER  A CORTE DE DICIEMBRE DE 2023</t>
  </si>
  <si>
    <t>% EJECUCIÓN PRESUPUESTAL IDER  A CORTE DE DICIEMBRE  DE 2023</t>
  </si>
  <si>
    <t xml:space="preserve">REPORTE DE ACTIVIDADES DE PROYECTO  DE DICIMEBRE  DE 2023 </t>
  </si>
  <si>
    <t xml:space="preserve">% AVANCE ACTIVIDAD DEL PROYECTO DE DICIEMBRE DE 2023  </t>
  </si>
  <si>
    <t xml:space="preserve">% AVANCE PROYECTO DE  DICIEMBRE DE  2023 </t>
  </si>
  <si>
    <t xml:space="preserve">REPORTE META PRODUCTO  ACUMULADO DICIEMBRE  DE 2023 </t>
  </si>
  <si>
    <t xml:space="preserve">AVANCE DE LA META PRODUCTO DICIEMBRE DE 2023  </t>
  </si>
  <si>
    <t xml:space="preserve">AVANCE META PRODUCTO  CUATRENIO DICIEMBRE  DE 2023  </t>
  </si>
  <si>
    <r>
      <t>OBSERVACION O RELACIÓN DE EVIDENCIA DE DICIEMBRE DE  2023-</t>
    </r>
    <r>
      <rPr>
        <b/>
        <sz val="20"/>
        <color theme="8" tint="-0.249977111117893"/>
        <rFont val="Calibri"/>
        <family val="2"/>
        <scheme val="minor"/>
      </rPr>
      <t>https://idergov-my.sharepoint.com/:f:/g/personal/planeacion_ider_gov_co/Eml11OePiWJJn13ezAsCnDgBsULn-u6gcpznQfrNUDmYSQ?e=5XDQIy</t>
    </r>
  </si>
  <si>
    <t>ESTADIO DE FUTBOL SAN FERNANDO: El proyecto de construcción con el contrato 399. Y de interventoría 400; con un avance de ejecución del 58.00% Se inicio la instalación del césped sintético, se está realizando el Re parcheo de los desniveles del terreno de juego. Reparación de muros interior y exteriores, instalación de cielo Razo reparación de la estructura metálica, CANCHA MULTIPLE LA BOMBONERA: El proyecto de construcción con el contrato 399. Y de interventoría 400; con un avance de ejecución del 59.00% el avance este marcado por la culminación de la instalación del cerramiento, y la fundidas del urbanismo, fundida de bancas, CANCHA MULTIPLE DE    BOCACHICA: El proyecto de construcción con el contrato 399 Y de interventoría 400; con un avance de ejecución del 71.00% el avance se encuentra la instalación del cerramiento, la fundidas de los andenes y bancas del urbanismo y la instalación eléctrica, CANCHA MULTIPLE. DEL BARRIO EL CARMELO: Proyecto de reconstrucción de escenario deportivo con el contrato de obra 458-2023, los alcances del proyecto incluyen cerramiento del escenario, alumbrado , placa deportiva, urbanismo, recientemente se realizó adición contractual de un muro de contención para preservar la estabilidad estructural del escenario y sus componentes, el proyecto actualmente se encuentra en un porcentaje ejecutado de 65.55% dentro del cual se encuentran ejecutados los trabajos de placa de juego, vigas de cerramiento, mallas de cerramiento Anti impacto, juegos de graderías, formalete ría de bancas públicas, y urbanismo del escenario. CANCHA MULTIPLE. DEL CAMPESTRE 5° ETAPA: El proyecto es por recursos propios, con el contrato de obra 458-2023 y el contrato de interventoría 461-2023. El proyecto se encuentra actualmente en un porcentaje de ejecución del 64.34% dentro del cual se encuentran ejecutados trabajos de fundido de placa deportiva, instalación de mallas de cerramiento, instalación de postes de alumbrado, trazado y excavación para cimentación de graderías.</t>
  </si>
  <si>
    <t xml:space="preserve">Para el buen funcionamiento de los escenarios deportivos es necesario contar con los servicios públicos. A la fecha se encuentran al día al mes de noviembre.
Se pagan servicios públicos de 27 y 16 escenarios deportivos para agua y luz respectivamente. A la fecha estamos al día hasta el mes de noviembre en estos pagos. Se realizan intervenciones 30 unidades deportivas (Localidad 1: 83 + Localidad 2: 86 + Localidad 3:99 en términos Mantenimientos Preventivos Recurrentes.CAMPO DE SOFTBOL DEL BARRIO EL CAMPESTRE: El proyecto es por incorporación, con el contrato de obra 466-2023 con el CONSORCIO MEJORAMIENTO HISTORICO y el contrato de interventoría 469-2023.CON LA FIRMA 2L PROYECTOS SAS. Se inicio las obras y muestra un avance de obra 34.70%. Siendo sus avances por las demoliciones y las excavaciones de muros y graderías, CANCHA MULTIPLE. DEL LIBANO PLAYAS DE ACAPULCO: El proyecto es por incorporación, con el contrato de obra 466-2023 con el CONSORCIO MEJORAMIENTO HISTORICO y el contrato de interventoría 469-2023.CON LA FIRMA 2L PROYECTOS SAS. Se dará inicio a la obra y tiene un avance de ejecución de 74%, marcado por la demolición de muro y el retiro del cerramiento de mallas, CAMPO DE SOFTBOL DEL BARRIO EL SOCORRO JUSTO DE AVILA: El proyecto es por incorporación, con el contrato de obra 466-2023 con el CONSORCIO MEJORAMIENTO HISTORICO y el contrato de interventoría 469-2023.CON LA FIRMA 2L   PROYECTOS   SAS . Presenta un avance técnico de 37.71% se encuentran realizando la figurada de hierro de toda la cimentación y la fundida de esta, CAMPO DE SOFTBOL DEL LA BOQUILLA:  El proyecto es por incorporación, con el contrato de obra 466-2023 con el CONSORCIO MEJORAMIENTO HISTORICO y el contrato de interventoría 469-2023.CON LA FIRMA 2L   PROYECTOS   SAS. Presenta un avance técnico de 86% El retiro de la malla existente, y reaparición de la tubería, CAMPO DE BEISBOL INFANTIL DANIEL ORTIZ 
LOS BRAVITOS: El proyecto es por incorporación, con el contrato de obra 466-2023 con el CONSORCIO MEJORAMIENTO HISTORICO y el contrato de interventoría 469-2023.CON LA FIRMA 2L PROYECTOS SAS. Presenta un avance del 40% Reparación de cubierta de gradería. Desmonte malla y reparación de los muros, ESTADIO FUTBOL JAIME MORON : El proyecto es por incorporación, con el contrato de obra 466-2023 con el CONSORCIO MEJORAMIENTO HISTORICO y el contrato de interventoría 469-2023.CON LA FIRMA 2L PROYECTOS SAS.  Se inicio los trabajos de impermeabilización de las cubierta Presenta un avance técnico de 46%, CANCHA MULTIPLES DEL BARRIO LOS CERROS: El proyecto es por incorporación, con el contrato de obra 466-2023 con el CONSORCIO MEJORAMIENTO HISTORICO y el contrato de interventoría 469-2023.CON LA FIRMA 2L PROYECTOS SAS sen iniciaron los trabajos Presenta un avance técnico de 28%, CANCHA MULTIPLES DEL MONSERATE: El proyecto es por incorporación, con el contrato de obra 466-2023 con el CONSORCIO MEJORAMIENTO HISTORICO y el contrato de interventoría 469-2023.CON LA FIRMA 2L PROYECTOS SAS. Presenta un avance del 36.500% Demolición de placa desmonte de malla y demolición de muro cerramiento. Conformación de suelo de placo de juegos, armado de hierro de vigas de cerramiento.
</t>
  </si>
  <si>
    <r>
      <rPr>
        <b/>
        <u/>
        <sz val="20"/>
        <color theme="1"/>
        <rFont val="Calibri"/>
        <family val="2"/>
        <scheme val="minor"/>
      </rPr>
      <t>A corte 29 de diciembre se reporta:</t>
    </r>
    <r>
      <rPr>
        <sz val="20"/>
        <color theme="1"/>
        <rFont val="Calibri"/>
        <family val="2"/>
        <scheme val="minor"/>
      </rPr>
      <t xml:space="preserve">
Se finalizaron las competencias de los juegos Intercolegiados vigencia 2023, con fecha del 30 de noviembre del 2023, Para las finales de los jugos Intercolegiados se entregaron las premiaciones a los finalistas ganadores de los deportes en conjunto y deportes individuales, siento estas un total de 820 medallas (medallas de plata 420 – medallas de oro 400) para las 25 disciplinas 
</t>
    </r>
  </si>
  <si>
    <r>
      <rPr>
        <b/>
        <u/>
        <sz val="20"/>
        <color theme="1"/>
        <rFont val="Calibri"/>
        <family val="2"/>
        <scheme val="minor"/>
      </rPr>
      <t>A corte 29 de diciembre se reporta:</t>
    </r>
    <r>
      <rPr>
        <sz val="20"/>
        <color theme="1"/>
        <rFont val="Calibri"/>
        <family val="2"/>
        <scheme val="minor"/>
      </rPr>
      <t xml:space="preserve">
Se continuó con la entrega de los apoyos a los Organismos Deportivos beneficiarios de las Resoluciones No. 157 y 158 y Segunda Fase.
Se apoyaron los siguientes Organismos Deportivos:
1.	Club Deportivo de Taekwondo Cartagena de Indias.
2.	Liga de Baloncesto de Bolívar
3.	Club Deportivo de Gimnasia Iron Boys.
4.	Liga de Lucha Olímpica de Bolívar
5.	Club Deportivo de Boccia Los Heroicos.
6.	Liga de Ajedrez de Bolívar.
7.	Club Deportivo de Béisbol Los Traviesos.
8.	Club Deportivo de Fútbol Alexis Escudero.
9.	Club Deportivo de Fútbol Cartagena City.
10.	Club Deportivo de Fútbol Visionarios.
11.	Club Deportivo de Fútbol Atlético Colombia.
12.	Club Deportivo de Fútbol Academia Cartagenera.
13.	Club Deportivo de Fútbol Guerreros Adonáis.
14.	Club Deportivo de Fútbol Paraíso Real.
15.	Club Deportivo de Fútbol Promoción Juvenil de Policarpa.
16.	Club Deportivo de Fútbol 13 de junio.
17.	Club Deportivo de Patinaje Cadistur.
18.	Club Deportivo de Billar Alfa Máster.
19.	Club Deportivo de Baloncesto en Silla de Ruedas Los Heroicos.
20.	Club Deportivo de Fútbol Perlaza FC.
21.	Club Deportivo de Fútbol Caribe FC.
22.	Club Deportivo Matoza FC.
23.	Club Deportivo de Fútbol La Academia FC Cartagena.
24.	Club Deportivo de Fútbol Alianza Sport.
25.	Club Deportivo de Fútbol Bocachica Real.
26.	Club Deportivo de Fútbol Edén Guerreros Club.
27.	Club Deportivo de Béisbol Pelota Caliente.
28.	Club Deportivo de Karate Do Goju Ryu.
29.	Club Deportivo INEM Cartagena.
30.	Liga de Billar de Bolívar.
31.	Club Deportivo Los Delfines.
32.	Club Deportivo de Fútbol Talento Cartagenero.
33.	Club Deportivo de Patinaje Patín de Oro.
34.	Liga de Levantamiento de Pesas de Bolívar.
35.	Club Deportivo de Fútbol Sevilla Kids.
36.	Club Deportivo de Béisbol Metropolitanos de Cartagena.
37.	Club Deportivo de Softbol Marineros.
38.	Club Deportivo de Softbol Las Leonas.
39.	Liga de Fútbol de Bolívar.
40.	Club Deportivo de Fútbol Alianza.
41.	Club Deportivo de Fútbol Santo Domingo.
42.	Liga Bolivarense de Voleibol.
43.	Club Deportivo Ciegos de Bolívar.
44.	Club Deportivo Ícono.
45.	Liga de Tenis de Bolívar.
46.	Liga de Karate Do de Bolívar.
47.	Liga de Tejo de Bolívar.
48.	Federación Colombiana de Béisbol.
49.	Club Deportivo de Lucha Wrestling.
50.	Club Deportivo de Fútbol Dinastía Mosquera.
51.	Club Deportivo de Fútbol Naval.
52.	Club Deportivo de Fútbol Juvenil Amberes.
53.	Club Deportivo de Fútbol Toto Barrios.
54.	Club Deportivo de Fútbol Real Celeste.
55.	Club Deportivo de Fútbol Atlético Gabilo.
56.	Club Deportivo de Fútbol Los Costeños.
57.	Club Deportivo de Fútbol Nueva Ilusión.
58.	Club Deportivo de Fútbol Súper 99.
59.	Club Deportivo de Fútbol Balompié Positivo.
60.	Club Deportivo de Billar Champion Pool.
</t>
    </r>
  </si>
  <si>
    <t xml:space="preserve">Aparejado con los estímulos y/o apoyos otorgados a los Organismos Deportivos, se impacta un número determinado de deportistas afiliados a estos. Las líneas de apoyo están centradas en aspectos como movilidad aérea, hospedaje, alimentación, hidratación y logística general. Estos estímulos les permiten a estas organizaciones, cumplir con las actividades misionales previstas en sus respectivos Planes de Desarrollo, Planes Estratégicos o Planes de Acción. 
Para determinar de forma detallada las personas que se benefician de estos estímulos, se propenderá por llevar a cabo una caracterización general de estos atletas, de tal forma que en la medida que se vaya haciendo un análisis de la población, permitirá al Instituto enfocar sus esfuerzos de manera más puntual. 
Parte de esta caracterización tiene que ver con el rango de edad, sexo, lugar de residencia, unidad comunera, localidad, nivel de escolaridad, grupo étnico, etc.
</t>
  </si>
  <si>
    <r>
      <rPr>
        <b/>
        <u/>
        <sz val="20"/>
        <color theme="1"/>
        <rFont val="Calibri"/>
        <family val="2"/>
        <scheme val="minor"/>
      </rPr>
      <t>A corte 29 de diciembre se realizaron:</t>
    </r>
    <r>
      <rPr>
        <sz val="20"/>
        <color theme="1"/>
        <rFont val="Calibri"/>
        <family val="2"/>
        <scheme val="minor"/>
      </rPr>
      <t xml:space="preserve">
1.</t>
    </r>
    <r>
      <rPr>
        <b/>
        <sz val="20"/>
        <color theme="1"/>
        <rFont val="Calibri"/>
        <family val="2"/>
        <scheme val="minor"/>
      </rPr>
      <t xml:space="preserve">	</t>
    </r>
    <r>
      <rPr>
        <sz val="20"/>
        <color theme="1"/>
        <rFont val="Calibri"/>
        <family val="2"/>
        <scheme val="minor"/>
      </rPr>
      <t>Durante este período se hizo entrega de estímulos a 64 atletas apoyados por el IDER que obtuvieron medalla en los Juegos Nacionales y Paranacionales 2023. 
2.	Cinco (5) atletas de deporte adaptado renunciaron a los apoyos por no reunir los requisitos de acceso al no haber clasificado finalmente a las Justas.</t>
    </r>
    <r>
      <rPr>
        <b/>
        <sz val="20"/>
        <color theme="1"/>
        <rFont val="Calibri"/>
        <family val="2"/>
        <scheme val="minor"/>
      </rPr>
      <t xml:space="preserve">
</t>
    </r>
  </si>
  <si>
    <r>
      <rPr>
        <b/>
        <sz val="20"/>
        <color theme="1"/>
        <rFont val="Calibri"/>
        <family val="2"/>
        <scheme val="minor"/>
      </rPr>
      <t>A corte 20 de diciembre de 2023</t>
    </r>
    <r>
      <rPr>
        <sz val="20"/>
        <color theme="1"/>
        <rFont val="Calibri"/>
        <family val="2"/>
        <scheme val="minor"/>
      </rPr>
      <t>, se realizaron y/o apoyaron a seis (6) eventos, los cuales son: 
1.	Iron Man 2023, el día 3 de diciembre de 2023.
2.	Campeonato Nacional Infantil Masculino y Femenino de Voleibol. 26 de noviembre al 5 de diciembre de 2023.
3.	Torneo Regional de Lucha Olímpica. 16 de diciembre de 2023.
4.	Proyecto Avanzado de Desarrollo de Tenis. 10 al 14 de diciembre.
5.	Mundialito de Fútbol Cartagena de Indias. 6 al 10 de diciembre de 2023.
6.	Torneo de Béisbol Grand Slam. 17 de noviembre al 5 de diciembre de 2023.</t>
    </r>
  </si>
  <si>
    <r>
      <rPr>
        <b/>
        <sz val="20"/>
        <color theme="1"/>
        <rFont val="Calibri"/>
        <family val="2"/>
        <scheme val="minor"/>
      </rPr>
      <t xml:space="preserve">En este período se llevaron a cabo las siguientes actividades:                                                                                                                                                                                                                     </t>
    </r>
    <r>
      <rPr>
        <sz val="20"/>
        <color theme="1"/>
        <rFont val="Calibri"/>
        <family val="2"/>
        <scheme val="minor"/>
      </rPr>
      <t xml:space="preserve"> Se realizo las olimpiadas deportivas donde se convocaron a deportistas de los diferentes clubes deportivos y los deportistas de la EIFD; participaron 2.500 personas. Fecha 30/11/2023 a 4/12/2023 
Se realizo el evento de clausura de la Escuela de Iniciación y Formación Deportiva EIFD, donde se cierre a los procesos realizados en la vigencia 2023, en este asistieron 5.000 personas. fecha 20/12/2023
</t>
    </r>
  </si>
  <si>
    <r>
      <rPr>
        <b/>
        <u/>
        <sz val="20"/>
        <color theme="1"/>
        <rFont val="Calibri"/>
        <family val="2"/>
        <scheme val="minor"/>
      </rPr>
      <t xml:space="preserve">En este período se llevaron a cabo las siguientes actividades: </t>
    </r>
    <r>
      <rPr>
        <sz val="20"/>
        <color theme="1"/>
        <rFont val="Calibri"/>
        <family val="2"/>
        <scheme val="minor"/>
      </rPr>
      <t xml:space="preserve">                                                                                                                                                                                                                     Se realizo las olimpiadas deportivas donde se convocaron a deportistas de los diferentes clubes deportivos y los deportistas de la EIFD; participaron 2.500 personas. Fecha 30/11/2023 a 4/12/2023 
Se realizo el evento de clausura de la Escuela de Iniciación y Formación Deportiva EIFD, donde se cierre a los procesos realizados en la vigencia 2023, en este asistieron 5.000 personas. fecha 20/12/2023</t>
    </r>
  </si>
  <si>
    <t xml:space="preserve">A corte 29 de diciembre se reporta: 
Se continúan con las competencias de los juegos carcelarios, los cuales finalizan el 29 de diciembre. Se está en las etapas finales de las competencias y programación de las premiaciones.   Se desarrollo las competencias de Golito en el marco de los juegos distritales de la Discapacidad, donde participaron 48 personas con discapacidad intelectual, se realizó los días 23 y 24 de noviembre en la cancha la Gambeta. 
A corte 29 de diciembre se reporta: Se desarrollo las competencias de Natación en el marco de los juegos distritales de la Discapacidad, donde participaron 96 personas con discapacidad intelectual, fisca y visual; se realizó los días 25 y 26 de noviembre en el complejo acuático. Se desarrollo las competencias de Atletismo en el marco de los juegos distritales de la Discapacidad, donde participaron 73 personas con discapacidad intelectual, parálisis cerebral, auditiva y física; se realizó los días 27 y 28 de noviembre en la pista de atletismo. 
Se desarrollo las competencias de Futbol Sala Masculino en el marco de los juegos distritales de la Discapacidad, donde participaron 32 personas con discapacidad intelectual; se realizó los días 28 y 29 de noviembre en la cancha múltiple Fundación Aluna. 
Se desarrollo las competencias de Baloncesto en silla de Ruedas Masculino en el marco de los juegos distritales de la Discapacidad, donde participaron 20 personas con discapacidad física; se realizó los días 21, 22 y 23 de diciembre en el coliseo de Combate. 
Se desarrollo las competencias de Voleibol Sentado Masculino en el marco de los juegos distritales de la Discapacidad, donde participaron 20 personas con discapacidad intelectual; se realizó los días 19, 20 y 21 de diciembre en el coliseo Northon Madrid. 
Se desarrollo las competencias de Boccia en el marco de los juegos distritales de la Discapacidad, donde participaron 10 personas con discapacidad intelectual; se realizó los días 20 y 21 de diciembre en el coliseo de Combate. 
Se desarrollo las competencias de Bolos en el marco de los juegos distritales de la Discapacidad, donde participaron 20 personas con discapacidad intelectual; se realizó los días 26 y 27 de diciembre en la Bolera. 
Se desarrollo el festival predeportivo de la localidad 1 en el marco de los juegos distritales de la Discapacidad, donde participaron 103 personas con discapacidad intelectual, física. Parálisis cerebral y auditiva; se realizó el día 22 de diciembre en el coliseo de Combate. Se desarrollo las competencias de Golito en el marco de los juegos distritales de la Discapacidad, donde participaron 48 personas con discapacidad intelectual, se realizó los días 23 y 24 de noviembre en la cancha la Gambeta. 
Se desarrollo las competencias de Natación en el marco de los juegos distritales de la Discapacidad, donde participaron 96 personas con discapacidad intelectual, fisca y visual; se realizó los días 25 y 26 de noviembre en el complejo acuático. 
Se desarrollo las competencias de Atletismo en el marco de los juegos distritales de la Discapacidad, donde participaron 73 personas con discapacidad intelectual, parálisis cerebral, auditiva y física; se realizó los días 27 y 28 de noviembre en la pista de atletismo. 
Se desarrollo las competencias de Futbol Sala Masculino en el marco de los juegos distritales de la Discapacidad, donde participaron 32 personas con discapacidad intelectual; se realizó los días 28 y 29 de noviembre en la cancha múltiple Fundación Aluna. 
Se desarrollo las competencias de Baloncesto en silla de Ruedas Masculino en el marco de los juegos distritales de la Discapacidad, donde participaron 20 personas con discapacidad física; se realizó los días 21, 22 y 23 de diciembre en el coliseo de Combate. 
Se desarrollo las competencias de Voleibol Sentado Masculino en el marco de los juegos distritales de la Discapacidad, donde participaron 20 personas con discapacidad intelectual; se realizó los días 19, 20 y 21 de diciembre en el coliseo Northon Madrid. 
Se desarrollo las competencias de Boccia en el marco de los juegos distritales de la Discapacidad, donde participaron 10 personas con discapacidad intelectual; se realizó los días 20 y 21 de diciembre en el coliseo de Combate. 
Se desarrollo las competencias de Bolos en el marco de los juegos distritales de la Discapacidad, donde participaron 20 personas con discapacidad intelectual; se realizó los días 26 y 27 de diciembre en la Bolera. 
Se desarrollo el festival predeportivo de la localidad 1 en el marco de los juegos distritales de la Discapacidad, donde participaron 103 personas con discapacidad intelectual, física. Parálisis cerebral y auditiva; se realizó el día 22 de diciembre en el coliseo de Combate. 
</t>
  </si>
  <si>
    <r>
      <t xml:space="preserve">
</t>
    </r>
    <r>
      <rPr>
        <b/>
        <u/>
        <sz val="20"/>
        <color theme="1"/>
        <rFont val="Calibri"/>
        <family val="2"/>
        <scheme val="minor"/>
      </rPr>
      <t>A corte 29 de diciembre se reporta:</t>
    </r>
    <r>
      <rPr>
        <sz val="20"/>
        <color theme="1"/>
        <rFont val="Calibri"/>
        <family val="2"/>
        <scheme val="minor"/>
      </rPr>
      <t xml:space="preserve">
Durante este periodo, se realizaron las Quinta, sexta y séptima programación de beisbol y futbol.
Así mismo se realizó el desarrollo del cronograma establecido, que se comenzó a cumplir desde los inicios del periodo en la parte de organización, socialización, divulgación y capacitación. Pero por algunos retrasos en la adición y ajuste presupuestal y de los trámites de contratación de la logística, implementación y uniforme deportivos, las precompetencias y competencias deportivas se vieron afectadas en sus fechas de inicio y desarrollo. Esto trajo como consecuencia, que solo hasta finales de octubre y principios de noviembre, se logró iniciar las actividades precompetitivas. Participaron 1.920 deportistas y 23 corregimientos del distrito de Cartagena de Indias.  A corte 29 de diciembre se reporta: 
Se realiza socialización con los líderes de las tres localidades de la ciudad y el secretario deportivo de Fedejac, para acordar la forma de llevar Los Juegos Recreativos Amistosos en las diferentes localidades al igual que la entrega de premiación a los campeones y subcampeones de los Juegos Comunales 2023, estos estuvieron de acuerdo para realizar estas actividades (fecha 15 de noviembre 2023).
Se iniciaron los juegos en la fase de Juegos Amistosos Comunitarios en los siguientes deportes (fecha 02 de diciembre 2023):  
Futbol de salón masculino (80 participantes) 18 – 40 años
Bate y tapita (120 participantes) 28 – 60 años
Futbol femenino (20 participantes) 18 – 40 años 
Jornada deportiva Ajedrez (25 participantes) 10-40 años
Futbol Infantil (150 participantes) – 8 – 12 años
Baloncesto femenino y masculino (40 participantes) 18 – 40 años 
Se entregó la premiación de todos los equipos campeones, subcampeones, y de deportes individuales de la vigencia 2022 
Se inició la copa navideña Futbol de Salón infantil en la cancha de la ermita categoría Pony, Infantil, Pre-infantil del 18-12-2023 al 29-12-2023 con una participación de 120 niños (edades entre 8 a 12 años). A corte 29 de diciembre se reporta:
Para este periodo se realizaron los cierres y finales de las precompetencias de los juegos Afro 2023
Futbol de salón masculino (80 participantes)
Futbol infantil masculino (80 participantes) 
Futbol femenino (100 participantes) 
Voleibol femenino infantil (80 participantes) 
Domino masculino mayores (60 participantes) 
Jornada deportiva Infantil (50 participantes en el sector de Boston)
Se realizo el torneo de Ajedrez infantil en sus ramas masculina (20) y femenina (20) 
Se aumento la participación de los deportistas en futbol de salón masculino (40 participantes) 
Se aumento la participación de los deportistas en futbol infantil masculino (40 participantes) 
A corte 29 de diciembre se reporta: 
Se continuaron con las actividades ancestrales en los cabildos Kaizeba (Bayunca), Kaizem (Membrillal) y Kankuamo (Villa corelca) donde se desarrollaron actividades ancestrales de pilón (20), corte de leña (16), tiro al blanco (16), trenzado (36) y actividades convencionales de futbol de salón (40). Se realizaron los días 25 y 26 de noviembre (128 participantes)
Se continuaron con las actividades ancestrales en los cabildos Kaizeba (Bayunca), Kaizem (Membrillal) y Kankuamo (Villa corelca) donde se desarrollaron actividades ancestrales de pilón (20), corte de leña (16), tiro al blanco (16), trenzado (36), huevo en cuchara (10), costalado (10 - carrera en sacos) y actividades convencionales de futbol de salón (40). Se realizaron los días 2 y 3 de diciembre (148 participantes)
Se continuaron con las actividades ancestrales en los cabildos Kaizeba (Bayunca), Kaizem (Membrillal) y Kankuamo (Villa corelca) donde se desarrollaron actividades ancestrales de pilón (10), corte de leña (16), vara de premio (10), tiro al blanco (16), trenzado (18) y actividades convencionales de futbol de salón (54). Se realizaron los días 9 y 10 de diciembre (124 participantes)
Se continuaron con las actividades ancestrales en los cabildos Kaizeba (Bayunca), Kaizem (Membrillal) y Kankuamo (Villa corelca) donde se desarrollaron actividades ancestrales de pilón (20), corte de leña (20), vara de premio (20) y actividades convencionales de futsalon (54) y kickbol (20). Se realizaron los días 14 y 15 de diciembre (134 participantes)
Se continuaron con las actividades ancestrales en los cabildos Kaizeba (Bayunca), Kaizem (Membrillal) y Kankuamo (Villa corelca) donde se desarrollaron actividades ancestrales de pilón (20), corte de leña (10), tiro al blanco (20), vara de premio (10), tiro con onda (20) y actividades convencionales de futsalon (36) y kickbol (20). Se realizaron los días 17 y 20 de diciembre (136 participantes). A corte 29 de diciembre se reporta: 
Se continúan con las competencias de los juegos carcelarios, los cuales finalizan el 29 de diciembre. Se está en las etapas finales de las competencias y programación de las premiaciones.      </t>
    </r>
  </si>
  <si>
    <r>
      <t>La Estrategia Joven Saludable registraba (683) usuarios, en este periodo se aumenta el número de participantes de nuestra estrategia, (32) usuario nuevo, dando un acumulado de (715). Se trabaja actualmente con 20 núcleos en la Estrategia. 
Total de participantes en la estrategia 715. Mujeres (543) y Hombres (172).
Mujeres (76%) y Hombres (24%).</t>
    </r>
    <r>
      <rPr>
        <b/>
        <u/>
        <sz val="20"/>
        <color theme="1"/>
        <rFont val="Calibri"/>
        <family val="2"/>
        <scheme val="minor"/>
      </rPr>
      <t>El número acumulado de participantes en eventos de actividad física</t>
    </r>
    <r>
      <rPr>
        <sz val="20"/>
        <color theme="1"/>
        <rFont val="Calibri"/>
        <family val="2"/>
        <scheme val="minor"/>
      </rPr>
      <t xml:space="preserve"> al período comprendido entre el 21 de noviembre y el 20 de diciembre pasó de (25.851) del último informe, a la fecha a (29.830) 
A continuación, se reportan la caracterización de los participantes en las actividades de este periodo (3.979) así:
(1.441) Personas asistentes a (11) Eventos de Concentración.  Mujeres (1.330) Hombres (111)
(966) Personas asistentes a (27) Eventos de Promoción.  Mujeres (912) Hombres (54)
(652) Personas asistentes a la Clausura Joven Saludable “Vive la Danza, Vive el Movimiento”. Mujeres (576) Hombres (76)
(320) Personas asistentes al Evento Joven HEVS. Mujeres (235) Hombres (85)
(600) Personas asistentes al Evento Running Kids. Mujeres (324) Hombres (276).                                                                                                                </t>
    </r>
    <r>
      <rPr>
        <b/>
        <u/>
        <sz val="20"/>
        <color theme="1"/>
        <rFont val="Calibri"/>
        <family val="2"/>
        <scheme val="minor"/>
      </rPr>
      <t>A corte del período del 21 de noviembre a 27 de diciembre se realizaron once (11) Eventos de Concentración.</t>
    </r>
    <r>
      <rPr>
        <sz val="20"/>
        <color theme="1"/>
        <rFont val="Calibri"/>
        <family val="2"/>
        <scheme val="minor"/>
      </rPr>
      <t xml:space="preserve">
Se realiza la aclaración de que el número de Eventos de Concentración de 720 es la meta del proyecto del cuatrienio, por lo tanto, por año son 180 Eventos. Entonces como se puede ver la meta del año 2023 esta cumplida, se han seguido realizando estas actividades para cubrir los pendientes de años anteriores que por la pandemia del Covid-19 no se pudieron realizar.En el período reportado del 21 de noviembre al 20 de diciembre se realizaron dos (3) Eventos de Ciudad, se realizó el día 9 de diciembre la Clausura de Joven Saludable “Vive la Danza, Vive el Movimiento”, en el Coliseo de Combate y Gimnasia Ignacio Amador de la Peña, con la presencia de 652 personas, el día 20 de diciembre se realizó en el Coliseo Northon Madrid Picott Joven HEVS con el apoyo del del Ministerio del Deporte y su Convenio Interadministrativo con la Universidad de Córdoba, donde contamos con la presencia de 150 usuarios y el día sábado 23 de diciembre se realizo Running Kids, en el Campo de Atletismo Campo Elías Gutiérrez, con la asistencia de 600 personas al evento.
</t>
    </r>
  </si>
  <si>
    <r>
      <rPr>
        <b/>
        <u/>
        <sz val="20"/>
        <color theme="1"/>
        <rFont val="Calibri"/>
        <family val="2"/>
      </rPr>
      <t>Desde la Estrategia Entornos Saludables</t>
    </r>
    <r>
      <rPr>
        <sz val="20"/>
        <color theme="1"/>
        <rFont val="Calibri"/>
        <family val="2"/>
      </rPr>
      <t xml:space="preserve"> en el acumulativo de los periodos pasados se han beneficiado (18.671) personas, en este periodo se generaron 16 actividades, adicionales tenemos las atenciones fijas en los centros penitenciarios y carcelarios con 17 atenciones en el mes entre las instituciones beneficiadas, impactando un total (1.102) personas, distribuidas de la siguiente forma:
(60) Personas asesoradas en organizaciones públicas y privadas, donde se dieron diferentes enfoques como lo son asesorías nutricionales, asesoría y talleres de hábitos y estilos de vida saludables.
(156) Personas impactadas en Campaña de sensibilización contra la eliminación de la violencia contra la mujer, llevada a cabo en las en fundaciones que apoyan a grupos de mujeres que han sido víctimas de diferentes tipos de abusos.
(219) Personas impactadas en Campaña de sensibilización sobre la prevención del VIH, esta campaña se articuló con diferentes entes públicos y se realizó en centros comerciales y espacios públicos 
(667) Participantes de las Jornadas recreo deportivas y de actividad física en organizaciones públicas y privadas.Desde el P</t>
    </r>
    <r>
      <rPr>
        <b/>
        <sz val="20"/>
        <color theme="1"/>
        <rFont val="Calibri"/>
        <family val="2"/>
      </rPr>
      <t>rograma de Hábitos y Estilos de Vida Saludable, y su Proyecto Mejoramiento de los Estilos de Vida Mediante la Promoción Masiva de una Vida Activa,</t>
    </r>
    <r>
      <rPr>
        <sz val="20"/>
        <color theme="1"/>
        <rFont val="Calibri"/>
        <family val="2"/>
      </rPr>
      <t xml:space="preserve"> se pasó de (8.101) usuarios impactados a (8.176), representando un incremento de (75) usuarios nuevos inscritos. Distribuidos de la siguiente manera:
(9) Madrúgale a la Salud  
(17) Noches Saludables     
(3) Caminante Saludable y Actívate Running  
(32) Joven Saludable   
(14) Actívate en el Parque  Madrúgale a la Salud tenía registrados en el informe anterior (3.097) usuarios, en este periodo se aumenta el número de participantes de nuestra estrategia, (9) usuarios nuevos, dando un acumulado de (3.106) personas beneficiadas desde la Estrategia. Se tienen actualmente 67 puntos activos. El número de puntos activos aumento debido a las nuevas comunidades que se sumaron al programa a través del Convenio Interadministrativo Mindeporte-IDER, los nuevos puntos activos son: La Boquilla Sector Marlinda, La Boquilla Sector Marlinda Centro de Vida, Nuevos Jardines, Ternera Centro de Vida y San Francisco Centro de Vida. Total de participantes en la estrategia (3.106). Mujeres (2.852) y Hombres (254).
 Mujeres (92%) y Hombres (8%).   
Las Estrategias Caminante Saludable y Actívate Running contaba con (515) usuarios, en este periodo se registraron (3) nuevos usuarios inscritos, para un acumulado de (518). Se mantienen actualmente las 4 rutas de Caminante Saludable y las 5 de rutas de Actívate Running en las 3 localidades del Distrito de Cartagena de Indias. 
Total de participantes en la estrategia 518.  Mujeres (426) y Hombres (92)
Mujeres (82%) y Hombres (18%).Noches Saludables registraba (3.328) usuarios, en este periodo se aumenta el número de participantes de nuestra estrategia, (17) usuarios nuevos, dando un acumulado de (3.345). Se tiene 77 puntos activos en la actualidad. El número de puntos activos aumento debido a los nuevas comunidades que se sumaron al programa a través del Convenio Interadministrativo Mindeporte-IDER, los nuevos puntos activos son: Corregimiento de Arroyo de Piedra, Tierra Baja, Zaragocilla Sector El Progreso, Bajos de San Isidro, Ternera Calle del Banquito, La Consolata, El Bosque Sector Manzanillo, Conjunto Residencial Territorio Mío, Parques de Bolívar, Conjunto Residencial Portales de San Fernando III y El Socorro Plan 332, para un total de doce (12) comunidades nuevas dentro del Programa de Hábitos y Estilos de Vida Saludable y su proyecto de Mejoramiento de los Estilos de Vida Mediante la Promoción Masiva. 
Total de personas inscritas en la estrategia 3.345. Mujeres (3.227) Hombres (117) y LGBTI+ (1).
Mujeres (96%) Hombres (3,5%) y LGBTI+ (0,005%).                                                                                                                                                                                                                                                                                                                                </t>
    </r>
  </si>
  <si>
    <r>
      <rPr>
        <b/>
        <u/>
        <sz val="20"/>
        <color theme="1"/>
        <rFont val="Calibri"/>
        <family val="2"/>
        <scheme val="minor"/>
      </rPr>
      <t>A corte del período del 21 de noviembre a 27 de diciembre se realizaron once (11) Eventos de Concentración.</t>
    </r>
    <r>
      <rPr>
        <sz val="20"/>
        <color theme="1"/>
        <rFont val="Calibri"/>
        <family val="2"/>
        <scheme val="minor"/>
      </rPr>
      <t xml:space="preserve">
Se realiza la aclaración de que el número de Eventos de Concentración de 720 es la meta del proyecto del cuatrienio, por lo tanto, por año son 180 Eventos. Entonces como se puede ver la meta del año 2023 esta cumplida, se han seguido realizando estas actividades para cubrir los pendientes de años anteriores que por la pandemia del Covid-19 no se pudieron realizar.En el período reportado del 21 de noviembre al 20 de diciembre se realizaron dos (3) Eventos de Ciudad, se realizó el día 9 de diciembre la Clausura de Joven Saludable “Vive la Danza, Vive el Movimiento”, en el Coliseo de Combate y Gimnasia Ignacio Amador de la Peña, con la presencia de 652 personas, el día 20 de diciembre se realizó en el Coliseo Northon Madrid Picott Joven HEVS con el apoyo del del Ministerio del Deporte y su Convenio Interadministrativo con la Universidad de Córdoba, donde contamos con la presencia de 150 usuarios y el día sábado 23 de diciembre se realizo Running Kids, en el Campo de Atletismo Campo Elías Gutiérrez, con la asistencia de 600 personas al evento. </t>
    </r>
    <r>
      <rPr>
        <u/>
        <sz val="20"/>
        <color theme="1"/>
        <rFont val="Calibri"/>
        <family val="2"/>
        <scheme val="minor"/>
      </rPr>
      <t>S</t>
    </r>
    <r>
      <rPr>
        <sz val="20"/>
        <color theme="1"/>
        <rFont val="Calibri"/>
        <family val="2"/>
        <scheme val="minor"/>
      </rPr>
      <t xml:space="preserve">e realizaron 10 eventos de ciudad en el año 2023.
</t>
    </r>
  </si>
  <si>
    <t>Para el cumplimiento de esta meta, se presenta una breve disertación sobre el alcance de las piezas de memoria histórica dentro del proyecto de inversión
(Anexo 7). En esta se resalta que la memoria y los procesos de transmisión intergeneracional de la memoria, pueden desarrollarse desde diferentes perspectivas
y medios, resaltando procesos de oralidad, gestualidad, escritura, entre otras (Candau, 2002)1 
. Lo anterior, permite considerar que no existe una forma única y/o adecuada para el desarrollo de estos procesos de transmisión y preservación de la memoria, más cuando cada una de ellas se adecuan a diferentes aspectos como la disponibilidad de recursos, la experiencia de quien busca preserva el hecho, la características del hecho y los relatos que se quieren transmitir. - Teniendo en cuenta lo anterior, y en reconocimiento del trabajo adelantado durante las vigencias 2020 y 2021, se busca consolidar y reconocer las crónicas deportivas como piezas de memoria, en tanto que traen al presente hechos del deporte que hacen una reconstrucción sistemática de los hitos que caracterizan a Cartagena como cuna de grandes deportistas. Igualmente, resaltar procesos comunitarios que han significado el desarrollo deportivo de la ciudad y que han permitido construir sinergias entre el deporte y el desarrollo en favor de los cartageneros. Las 6 piezas se alojan en el siguiente enlace (https://1drv.ms/f/s!ArZ3sYP5PZ95D74jm0m9I6DrBqt?e=ocDeQa) y se detallan según su estructura a continuación:o Memoria histórica del deporte en Cartagena y Bolívar. 
o Cartagena y Bolívar “cuna de campeones”
o Serie: Ídolos deportivos
▪ Carlos “Petaca” Rodríguez: ¡un ídolo del deporte cartagenero!
▪ Abel Leal Díaz, el inmortal “Tigre del beisbol”
▪ Bernardo Caraballo. Ídolo por siempre
▪ Alfonso Pérez Torres, nuestro primer medallista olímpico
▪ Berenice Moreno Atencia icono del patinaje colombiano
o Serie: Sin cumbre deportiva
▪ Mady Camelo, de la pista atlética a las pasarelas
▪ Ediana Jimenez Carvajal, transformando vida desde la gimnasia
▪ Enrique Rafael Polo Andrade, atleta y medico de corazón
▪ Leonardo Fuentes Orozco. Mas allá de una firma
o Serie: Deporte para la paz                                                                                                                                                                                                                            : ▪Hermanos Blanco Torres, lanzadores de sueños
▪ Manuel Díaz González. El forjador de atletas bolivarenses: el profe Mañe
▪ La profe Yenny, salvando vidas desde el deporte
▪ Teddys Silva Herrera. Nunca es temprano para empezar
o Serie: Ídolos del pasado y del presente
▪ Gustavo Mercado: del empirismo a entrenador certificado
▪ Miguel “Mascara” Maturana. 40 años después de Montreal 1981</t>
  </si>
  <si>
    <t xml:space="preserve">Para este mes de diciembre , se entregaron dos (2) artículos : 1 -Caracterización de Bate de Tapita  Y 2-Primeros  pasos en la georeferenciación de espacio del Bate de Tapita </t>
  </si>
  <si>
    <t xml:space="preserve">El semillero quedo activo y conformado por estudiantes de la Universidad de San Buenaventura  y funcionarios de la entidad. </t>
  </si>
  <si>
    <t>Dedido al calendario acádemico de la universidades, no se pudó finiquitar los convenios en este mes , sin embargo queda  el convenio de la Universidad Tecnólogica de Bolívar  (UTB) y  la Fundación Universitaria de los Libertadores para su firma con la administración entrante .</t>
  </si>
  <si>
    <t>Durante este periodo que va desde 21 de noviembre hasta el 29 de diciembre realizamos 2 eventos de recreación comunitaria dirigidos a todas las edades.
Entre los eventos realizados tenemos:
 (1) Ciclovía dominical de ciudad (VAS)
26 de noviembre - Ciclovía dominical de ciudad (VAS) logrando beneficiar a (547) personas -     Mujeres (385)          -      hombres (162) 
(1) Ciclovía Nocturna (VAS)
15 de diciembre– Realizada en el barrio nuestra señora de Chiquinquirá, con un total de personas beneficiadas (800) – Mujeres (476) – Hombres (324)
Se pasó de (22) eventos de Ciudad con 15.712 personas participantes a 24 eventos con 17.059 beneficiados acumulados a la fecha.
Se puede notar en este informe, realizamos (2) eventos de ciudad, como fue la ciclovía nocturna en el barrio nuestra señora de Chiquinquirá y también logramos adelantar 1 ciclovía Dominical en malecón del barrio crespo, beneficiando a un número considerable de cartageneros</t>
  </si>
  <si>
    <t xml:space="preserve">Se desarrolló la estrategia en este periodo que va desde 21 de noviembre hasta el 29 de diciembre se lograron realizar 5 jornadas recreativas en el distrito de Cartagena, adelantando acciones como lo son: jornadas de recreación en distintos barrios y sensibilizaciones sobre el cáncer infantil de esta manera alcanzamos a realizar:
7 - Jornadas Recreativas                              Beneficiados: 1.659	   Mujeres: 1.061   	   Hombres: 598
36 - Jornada Recreativa ruta navideña con entrega de regalo - Beneficiados: 2.588	   Mujeres: 1.392	   Hombres:  1.196
Alcanzando (4.247) personas participantes, las cuales (2.453) fueron Mujeres y (1.794) Hombres. Se pasando de (8.031) beneficiados para un acumulado de (11.166). Cumplimiento esta meta de nuestro proyecto de inversión el cual nos pide desarrollar la estrategia Cartagena es de los niños coincidiendo con el marco de tiempo que va desde el 21 noviembre hasta el 29 de diciembre, se realizaron (42) jornadas recreativas en diferentes Instituciones Educativas y comunidades del Distrito de Cartagena, llevando nuestra oferta de servicio se logró beneficiar: 
5 - Jornadas recreativas en instituciones educativas - Beneficiados: 980 – Mujeres: 718      Hombres: 262 
1 - Talleres recreativos en instituciones educativas y comunidades del distrito - Beneficiados: 484 – Mujeres: 231   Hombres: 253
36- jornadas recreativas (ruta navideña) - Beneficiados :2588 ¬– Mujeres 1392         Hombres: 1196
1-	Festival recreativo (Ministerio del Deporte) Beneficiados: 195 – Mujeres: 112      Hombres: 83
 Logramos beneficiar (4.247) personas, de las cuales (2453) mujeres - (1794) hombres.
El total acumulado del período aumentó de (22.489) a (26.736).Esta estrategia va encaminado a una población de personas mayores de 60 años, donde beneficiamos a 100 personas por Proyecto, solicitudes por la comunidad cartagenera   al IDER, brindándoles un día recreativo y la visita a sitios de interés de la Ciudad con la compañía de 4 representantes de la comunidad Todo 
lo canalizamos a través de Centros de Vida, Grupos Organizados Legalmente, JAC clubes asociaciones. Pasando de (5.061) impactados a un total de (5.335) personas mayores beneficiadas.Desde la estrategia Escuela Recreativa en el periodo pasado se beneficiaron 17.896. Personas, en este período (21 de noviembre al 29 de diciembre) se realizaron un total de 6 actividades, beneficiando 1525 personas. Las sesiones permanentes se mantuvieron la cobertura en 2.446 para un total de acumulado a la fecha 19.421. 
(2446) Beneficiados Sesiones Lúdicas Permanentes:                                              Mujeres: 1.233          Hombres: 1.213
(164)   Beneficiados Estimulación                                                                       Mujeres:   148          Hombres:     16
(26)   Asesoría HEVS                                                                                          Mujeres:     23          Hombres:       3
(187) Beneficiados Campaña Cuentos que no son                                             Mujeres:   123          Hombres:     64
(921) Beneficiados Carnavales Lúdicos.                                                             Mujeres:   568.         Hombres:   353
(227) Beneficiados Estación Recreativa.                                                             Mujeres:   171.         Hombres:     56
Total, Acumulado 21 de noviembre al 29 de diciembre:     1525 Beneficiados             Mujeres:   1033           Hombres:    492.    1.	En los encuentros intergeneracionales del Proyecto hemos alcanzado a beneficiar 726 personas asistentes (adolescentes y jóvenes), de los cuales 502 se han inscrito en la plataforma de google Drive. 
a.	del presente periodo (Noviembre/Diciembre) corresponden 				1
2.	En la realización de Camping por un Día
 .	              del presente periodo (noviembre/diciembre) corresponden 				                        163
1.	En la realización de la clausura de Campamentos juveniles - Festival Recreativo 
                           del presente periodo (noviembre/diciembre) corresponden			                                       283	
Se pasó de (6474) impactados a (6.920).
</t>
  </si>
  <si>
    <t xml:space="preserve">La revista SINERGIAS 2023, se publicó la edición No.3 , que se encuentra dispobinible en  la página web del IDER en la sección de Observatorio  https://ider.gov.co/wp-content/uploads/2023/12/19.12.23-Revista-SINERGIAS_VFDigital_compressed.pdf 
</t>
  </si>
  <si>
    <t>En el mes de diciembre se hizo la entrega de la certificación a los monitores y lideres de Deporte Social Comunitario con inclusión a 52 personas. Por otro lado en conjunto con la Corporación Real Star, se realizó el evento Liderazgos Diferentes con la participación de 25 personas.</t>
  </si>
  <si>
    <r>
      <rPr>
        <b/>
        <sz val="12"/>
        <color theme="1"/>
        <rFont val="Calibri"/>
        <family val="2"/>
        <scheme val="minor"/>
      </rPr>
      <t>Nota*:</t>
    </r>
    <r>
      <rPr>
        <sz val="12"/>
        <color theme="1"/>
        <rFont val="Calibri"/>
        <family val="2"/>
        <scheme val="minor"/>
      </rPr>
      <t xml:space="preserve"> Se observa el incremento en la apropiación definitiva debido a la incorporación a través del Acuerdo No. 120  del 23 de mayo de 2023 , el Decreto No. 0726 del 24 de mayo de 2023 y la  Resolución No. 150 del 29 de mayo de 2023, Acuerdo No. 127 del 8 de agosto de  2023, el Decreto No. 1107 del 14 de agosto de 2023 y la Resolución No. 241 del 18 de Agosto de 2023, Acuerdo No. 133 del 27 de noviembre de  2023, el Decreto No. 1596 del 30 de noviembre de 2023 y la Resolución No. 344 del 13 de diciembre de 2023.</t>
    </r>
  </si>
  <si>
    <t>Durante este período  de enero  a  diciembre  del 2023, se otorgaron 3.614  permisos  los cuales beneficiaron a 214.399  personas , distribuidos de la siguiente manera : Deportistas: 175.162,  Entrenadores: 15.643, Administrativos:13.546 y Aficionados:10.048  personas beneficiadas con los permisos.</t>
  </si>
  <si>
    <t>Durante este período  de enero  a  noviembre   del 2023, se otorgaron 3.562 permisos  los cuales beneficiaron a 209.425  personas , distribuidos de la siguiente manera : Deportistas: 170.8965, Entrenadores: 15.535, Administrativos:12.464 y Aficionados:9.530  personas beneficiadas con los permisos.</t>
  </si>
  <si>
    <t xml:space="preserve">A corte de 30 de diciembre de 2023, se beneficiaron a Trescientos Noventa  y Siete  mil  Doscientos Noventa   (397.290) personas distribuidas entre permisos por el uso de escenarios deportivos otorgados a deportistas, entrenadores , administrativos y aficionados   y  las planillas de ingresos de las personas que registraron a los  unidades deportivas.  </t>
  </si>
  <si>
    <r>
      <rPr>
        <b/>
        <u/>
        <sz val="24"/>
        <color theme="1"/>
        <rFont val="Calibri"/>
        <family val="2"/>
        <scheme val="minor"/>
      </rPr>
      <t xml:space="preserve">A corte 29 de diciembre se reporta: </t>
    </r>
    <r>
      <rPr>
        <sz val="24"/>
        <color theme="1"/>
        <rFont val="Calibri"/>
        <family val="2"/>
        <scheme val="minor"/>
      </rPr>
      <t xml:space="preserve">
Se continuaron con las actividades ancestrales en los cabildos Kaizeba (Bayunca), Kaizem (Membrillal) y Kankuamo (Villa corelca) donde se desarrollaron actividades ancestrales de pilón (20), corte de leña (16), tiro al blanco (16), trenzado (36) y actividades convencionales de futbol de salón (40). Se realizaron los días 25 y 26 de noviembre (128 participantes). Se continuaron con las actividades ancestrales en los cabildos Kaizeba (Bayunca), Kaizem (Membrillal) y Kankuamo (Villa corelca) donde se desarrollaron actividades ancestrales de pilón (20), corte de leña (16), tiro al blanco (16), trenzado (36), huevo en cuchara (10), costalado (10 - carrera en sacos) y actividades convencionales de futbol de salón (40). Se realizaron los días 2 y 3 de diciembre (148 participantes). Se continuaron con las actividades ancestrales en los cabildos Kaizeba (Bayunca), Kaizem (Membrillal) y Kankuamo (Villa corelca) donde se desarrollaron actividades ancestrales de pilón (10), corte de leña (16), vara de premio (10), tiro al blanco (16), trenzado (18) y actividades convencionales de futbol de salón (54). Se realizaron los días 9 y 10 de diciembre (124 participantes).Se continuaron con las actividades ancestrales en los cabildos Kaizeba (Bayunca), Kaizem (Membrillal) y Kankuamo (Villa corelca) donde se desarrollaron actividades ancestrales de pilón (20), corte de leña (20), vara de premio (20) y actividades convencionales de futsalon (54) y kickbol (20). Se realizaron los días 14 y 15 de diciembre (134 participantes).Se continuaron con las actividades ancestrales en los cabildos Kaizeba (Bayunca), Kaizem (Membrillal) y Kankuamo (Villa corelca) donde se desarrollaron actividades ancestrales de pilón (20), corte de leña (10), tiro al blanco (20), vara de premio (10), tiro con onda (20) y actividades convencionales de futsalon (36) y kickbol (20). Se realizaron los días 17 y 20 de diciembre (136 participantes)
</t>
    </r>
  </si>
  <si>
    <t>A cortes del mes de diciembre  de 2023, se están realizando mantenimientos , mejoras y reconstrucciones de los escenarios deportivos en territorios afro, negro, Palenquero  en el distrito de Cartagena de indias , en el siguiente escenario: 1- CANCHA MÚLTIPLE DEL LIBANO PLAYAS DE ACAPULCO  por un valor de $21.334.962.  Los valores reportados no incluye interventoria y AUI.</t>
  </si>
  <si>
    <t xml:space="preserve">Tomado de los programas del Area de Recreación y Deportes de enero a diciembre de 2023. </t>
  </si>
  <si>
    <t>ACUMULADO META BIENESTAR 2020-2023</t>
  </si>
  <si>
    <t>ACUMULADO DE META PRODUCTO 2020- 2023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</si>
</sst>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 #,##0_-;\-&quot;$&quot;\ * #,##0_-;_-&quot;$&quot;\ * &quot;-&quot;_-;_-@_-"/>
    <numFmt numFmtId="44" formatCode="_-&quot;$&quot;\ * #,##0.00_-;\-&quot;$&quot;\ * #,##0.00_-;_-&quot;$&quot;\ * &quot;-&quot;??_-;_-@_-"/>
    <numFmt numFmtId="43" formatCode="_-* #,##0.00_-;\-* #,##0.00_-;_-* &quot;-&quot;??_-;_-@_-"/>
    <numFmt numFmtId="164" formatCode="0;[Red]0"/>
    <numFmt numFmtId="165" formatCode="\$\ #,##0.00"/>
    <numFmt numFmtId="166" formatCode="_(* #,##0.00_);_(* \(#,##0.00\);_(* \-??_);_(@_)"/>
    <numFmt numFmtId="167" formatCode="_-* #,##0_-;\-* #,##0_-;_-* &quot;-&quot;??_-;_-@_-"/>
    <numFmt numFmtId="168" formatCode="0.0"/>
  </numFmts>
  <fonts count="72" x14ac:knownFonts="1">
    <font>
      <sz val="11"/>
      <color theme="1"/>
      <name val="Calibri"/>
      <family val="2"/>
      <scheme val="minor"/>
    </font>
    <font>
      <b/>
      <sz val="20"/>
      <color theme="1"/>
      <name val="Calibri"/>
      <family val="2"/>
      <scheme val="minor"/>
    </font>
    <font>
      <b/>
      <sz val="16"/>
      <color theme="1"/>
      <name val="Calibri"/>
      <family val="2"/>
      <scheme val="minor"/>
    </font>
    <font>
      <b/>
      <sz val="11"/>
      <color theme="1"/>
      <name val="Arial"/>
      <family val="2"/>
    </font>
    <font>
      <b/>
      <sz val="12"/>
      <color theme="1" tint="4.9989318521683403E-2"/>
      <name val="Arial"/>
      <family val="2"/>
    </font>
    <font>
      <b/>
      <sz val="11"/>
      <name val="Arial"/>
      <family val="2"/>
    </font>
    <font>
      <sz val="11"/>
      <color theme="1"/>
      <name val="Arial"/>
      <family val="2"/>
    </font>
    <font>
      <b/>
      <sz val="9"/>
      <color indexed="81"/>
      <name val="Tahoma"/>
      <family val="2"/>
    </font>
    <font>
      <sz val="9"/>
      <color indexed="81"/>
      <name val="Tahoma"/>
      <family val="2"/>
    </font>
    <font>
      <b/>
      <sz val="10"/>
      <color theme="1"/>
      <name val="Verdana"/>
      <family val="2"/>
    </font>
    <font>
      <sz val="10"/>
      <color theme="1"/>
      <name val="Verdana"/>
      <family val="2"/>
    </font>
    <font>
      <b/>
      <sz val="20"/>
      <color rgb="FFFF0000"/>
      <name val="Calibri"/>
      <family val="2"/>
      <scheme val="minor"/>
    </font>
    <font>
      <sz val="10"/>
      <name val="Arial"/>
      <family val="2"/>
    </font>
    <font>
      <b/>
      <sz val="12"/>
      <name val="Arial"/>
      <family val="2"/>
    </font>
    <font>
      <sz val="12"/>
      <name val="Arial"/>
      <family val="2"/>
    </font>
    <font>
      <b/>
      <sz val="14"/>
      <name val="Arial"/>
      <family val="2"/>
    </font>
    <font>
      <b/>
      <sz val="15"/>
      <color theme="1"/>
      <name val="Arial"/>
      <family val="2"/>
    </font>
    <font>
      <b/>
      <sz val="11"/>
      <color theme="1"/>
      <name val="Calibri"/>
      <family val="2"/>
      <scheme val="minor"/>
    </font>
    <font>
      <b/>
      <sz val="12"/>
      <color theme="1"/>
      <name val="Calibri"/>
      <family val="2"/>
      <scheme val="minor"/>
    </font>
    <font>
      <b/>
      <sz val="14"/>
      <color theme="1"/>
      <name val="Calibri"/>
      <family val="2"/>
      <scheme val="minor"/>
    </font>
    <font>
      <sz val="15"/>
      <color theme="1"/>
      <name val="Arial"/>
      <family val="2"/>
    </font>
    <font>
      <sz val="11"/>
      <color theme="1"/>
      <name val="Calibri"/>
      <family val="2"/>
      <scheme val="minor"/>
    </font>
    <font>
      <sz val="11"/>
      <color theme="1"/>
      <name val="Calibri"/>
      <family val="2"/>
    </font>
    <font>
      <sz val="20"/>
      <color theme="1"/>
      <name val="Calibri"/>
      <family val="2"/>
      <scheme val="minor"/>
    </font>
    <font>
      <b/>
      <sz val="20"/>
      <color theme="1" tint="4.9989318521683403E-2"/>
      <name val="Calibri"/>
      <family val="2"/>
      <scheme val="minor"/>
    </font>
    <font>
      <b/>
      <sz val="20"/>
      <name val="Calibri"/>
      <family val="2"/>
      <scheme val="minor"/>
    </font>
    <font>
      <sz val="20"/>
      <color rgb="FF000000"/>
      <name val="Calibri"/>
      <family val="2"/>
      <scheme val="minor"/>
    </font>
    <font>
      <b/>
      <sz val="20"/>
      <color rgb="FF000000"/>
      <name val="Calibri"/>
      <family val="2"/>
      <scheme val="minor"/>
    </font>
    <font>
      <sz val="20"/>
      <color rgb="FF000009"/>
      <name val="Calibri"/>
      <family val="2"/>
      <scheme val="minor"/>
    </font>
    <font>
      <sz val="20"/>
      <color theme="1" tint="4.9989318521683403E-2"/>
      <name val="Calibri"/>
      <family val="2"/>
      <scheme val="minor"/>
    </font>
    <font>
      <sz val="20"/>
      <name val="Calibri"/>
      <family val="2"/>
      <scheme val="minor"/>
    </font>
    <font>
      <sz val="20"/>
      <color theme="1"/>
      <name val="Arial Narrow"/>
      <family val="2"/>
    </font>
    <font>
      <u/>
      <sz val="20"/>
      <color theme="1"/>
      <name val="Calibri"/>
      <family val="2"/>
      <scheme val="minor"/>
    </font>
    <font>
      <u/>
      <sz val="20"/>
      <color theme="1" tint="4.9989318521683403E-2"/>
      <name val="Calibri"/>
      <family val="2"/>
      <scheme val="minor"/>
    </font>
    <font>
      <b/>
      <sz val="20"/>
      <color theme="1"/>
      <name val="Arial Narrow"/>
      <family val="2"/>
    </font>
    <font>
      <b/>
      <sz val="24"/>
      <color theme="1"/>
      <name val="Calibri"/>
      <family val="2"/>
      <scheme val="minor"/>
    </font>
    <font>
      <b/>
      <sz val="24"/>
      <color rgb="FF000000"/>
      <name val="Arial Narrow"/>
      <family val="2"/>
    </font>
    <font>
      <sz val="24"/>
      <color theme="1"/>
      <name val="Calibri"/>
      <family val="2"/>
      <scheme val="minor"/>
    </font>
    <font>
      <b/>
      <sz val="24"/>
      <color rgb="FF000000"/>
      <name val="Calibri"/>
      <family val="2"/>
      <scheme val="minor"/>
    </font>
    <font>
      <b/>
      <u/>
      <sz val="20"/>
      <color theme="1"/>
      <name val="Calibri"/>
      <family val="2"/>
      <scheme val="minor"/>
    </font>
    <font>
      <b/>
      <sz val="20"/>
      <color theme="8" tint="-0.249977111117893"/>
      <name val="Calibri"/>
      <family val="2"/>
      <scheme val="minor"/>
    </font>
    <font>
      <b/>
      <u/>
      <sz val="11"/>
      <color theme="1"/>
      <name val="Calibri"/>
      <family val="2"/>
      <scheme val="minor"/>
    </font>
    <font>
      <sz val="20"/>
      <color rgb="FF000000"/>
      <name val="Calibri"/>
      <family val="2"/>
    </font>
    <font>
      <b/>
      <sz val="24"/>
      <color rgb="FF000000"/>
      <name val="Calibri"/>
      <family val="2"/>
    </font>
    <font>
      <sz val="24"/>
      <color theme="1" tint="4.9989318521683403E-2"/>
      <name val="Calibri"/>
      <family val="2"/>
      <scheme val="minor"/>
    </font>
    <font>
      <b/>
      <sz val="24"/>
      <color theme="1" tint="4.9989318521683403E-2"/>
      <name val="Calibri"/>
      <family val="2"/>
      <scheme val="minor"/>
    </font>
    <font>
      <sz val="14"/>
      <color indexed="81"/>
      <name val="Tahoma"/>
      <family val="2"/>
    </font>
    <font>
      <b/>
      <sz val="16"/>
      <color indexed="81"/>
      <name val="Tahoma"/>
      <family val="2"/>
    </font>
    <font>
      <sz val="16"/>
      <color indexed="81"/>
      <name val="Tahoma"/>
      <family val="2"/>
    </font>
    <font>
      <b/>
      <sz val="20"/>
      <color indexed="81"/>
      <name val="Tahoma"/>
      <family val="2"/>
    </font>
    <font>
      <sz val="20"/>
      <color indexed="81"/>
      <name val="Tahoma"/>
      <family val="2"/>
    </font>
    <font>
      <sz val="24"/>
      <name val="Calibri"/>
      <family val="2"/>
      <scheme val="minor"/>
    </font>
    <font>
      <b/>
      <sz val="9"/>
      <color theme="1"/>
      <name val="Arial Narrow"/>
      <family val="2"/>
    </font>
    <font>
      <sz val="9"/>
      <color theme="1"/>
      <name val="Arial Narrow"/>
      <family val="2"/>
    </font>
    <font>
      <sz val="10"/>
      <color theme="1"/>
      <name val="Arial Narrow"/>
      <family val="2"/>
    </font>
    <font>
      <b/>
      <sz val="10"/>
      <color theme="1"/>
      <name val="Arial Narrow"/>
      <family val="2"/>
    </font>
    <font>
      <sz val="20"/>
      <color theme="1"/>
      <name val="Calibri"/>
      <family val="2"/>
    </font>
    <font>
      <b/>
      <u/>
      <sz val="20"/>
      <color theme="1"/>
      <name val="Calibri"/>
      <family val="2"/>
    </font>
    <font>
      <sz val="18"/>
      <color theme="1"/>
      <name val="Calibri"/>
      <family val="2"/>
    </font>
    <font>
      <sz val="16"/>
      <color theme="1"/>
      <name val="Calibri"/>
      <family val="2"/>
      <scheme val="minor"/>
    </font>
    <font>
      <sz val="18"/>
      <color theme="1"/>
      <name val="Calibri"/>
      <family val="2"/>
      <scheme val="minor"/>
    </font>
    <font>
      <b/>
      <sz val="18"/>
      <color theme="1"/>
      <name val="Calibri"/>
      <family val="2"/>
      <scheme val="minor"/>
    </font>
    <font>
      <b/>
      <u/>
      <sz val="16"/>
      <color theme="1"/>
      <name val="Calibri"/>
      <family val="2"/>
      <scheme val="minor"/>
    </font>
    <font>
      <b/>
      <sz val="18"/>
      <color theme="1"/>
      <name val="Calibri"/>
      <family val="2"/>
    </font>
    <font>
      <sz val="16"/>
      <color theme="1"/>
      <name val="Calibri"/>
      <family val="2"/>
    </font>
    <font>
      <b/>
      <u/>
      <sz val="18"/>
      <color theme="1"/>
      <name val="Calibri"/>
      <family val="2"/>
    </font>
    <font>
      <sz val="12"/>
      <color theme="1"/>
      <name val="Calibri"/>
      <family val="2"/>
      <scheme val="minor"/>
    </font>
    <font>
      <b/>
      <sz val="24"/>
      <name val="Calibri"/>
      <family val="2"/>
      <scheme val="minor"/>
    </font>
    <font>
      <b/>
      <u/>
      <sz val="20"/>
      <color rgb="FFFF0000"/>
      <name val="Calibri"/>
      <family val="2"/>
      <scheme val="minor"/>
    </font>
    <font>
      <b/>
      <u/>
      <sz val="20"/>
      <name val="Calibri"/>
      <family val="2"/>
      <scheme val="minor"/>
    </font>
    <font>
      <b/>
      <sz val="20"/>
      <color theme="1"/>
      <name val="Calibri"/>
      <family val="2"/>
    </font>
    <font>
      <b/>
      <u/>
      <sz val="24"/>
      <color theme="1"/>
      <name val="Calibri"/>
      <family val="2"/>
      <scheme val="minor"/>
    </font>
  </fonts>
  <fills count="26">
    <fill>
      <patternFill patternType="none"/>
    </fill>
    <fill>
      <patternFill patternType="gray125"/>
    </fill>
    <fill>
      <patternFill patternType="solid">
        <fgColor rgb="FFDBE5F1"/>
        <bgColor indexed="64"/>
      </patternFill>
    </fill>
    <fill>
      <patternFill patternType="solid">
        <fgColor theme="9" tint="0.79998168889431442"/>
        <bgColor indexed="64"/>
      </patternFill>
    </fill>
    <fill>
      <patternFill patternType="solid">
        <fgColor rgb="FFE2EFDA"/>
        <bgColor indexed="64"/>
      </patternFill>
    </fill>
    <fill>
      <patternFill patternType="solid">
        <fgColor rgb="FF6699FF"/>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bgColor indexed="64"/>
      </patternFill>
    </fill>
    <fill>
      <patternFill patternType="solid">
        <fgColor rgb="FFFFC000"/>
        <bgColor indexed="64"/>
      </patternFill>
    </fill>
    <fill>
      <patternFill patternType="solid">
        <fgColor rgb="FFFDB5C8"/>
        <bgColor indexed="64"/>
      </patternFill>
    </fill>
    <fill>
      <patternFill patternType="solid">
        <fgColor theme="7"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9" fillId="2"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12" fillId="0" borderId="0"/>
    <xf numFmtId="43" fontId="21" fillId="0" borderId="0" applyFont="0" applyFill="0" applyBorder="0" applyAlignment="0" applyProtection="0"/>
    <xf numFmtId="9" fontId="21" fillId="0" borderId="0" applyFont="0" applyFill="0" applyBorder="0" applyAlignment="0" applyProtection="0"/>
    <xf numFmtId="0" fontId="22" fillId="0" borderId="0"/>
    <xf numFmtId="44" fontId="21" fillId="0" borderId="0" applyFont="0" applyFill="0" applyBorder="0" applyAlignment="0" applyProtection="0"/>
  </cellStyleXfs>
  <cellXfs count="770">
    <xf numFmtId="0" fontId="0" fillId="0" borderId="0" xfId="0"/>
    <xf numFmtId="0" fontId="14" fillId="0" borderId="11" xfId="4" applyFont="1" applyBorder="1" applyAlignment="1">
      <alignment horizontal="center" vertical="center"/>
    </xf>
    <xf numFmtId="14" fontId="14" fillId="0" borderId="2" xfId="4" applyNumberFormat="1" applyFont="1" applyBorder="1"/>
    <xf numFmtId="0" fontId="14" fillId="0" borderId="16" xfId="4" applyFont="1" applyBorder="1" applyAlignment="1">
      <alignment horizontal="center" vertical="center"/>
    </xf>
    <xf numFmtId="14" fontId="14" fillId="0" borderId="17" xfId="4" applyNumberFormat="1" applyFont="1" applyBorder="1"/>
    <xf numFmtId="0" fontId="14" fillId="0" borderId="12" xfId="4" applyFont="1" applyBorder="1" applyAlignment="1">
      <alignment horizontal="center" vertical="center"/>
    </xf>
    <xf numFmtId="14" fontId="0" fillId="0" borderId="1" xfId="0" applyNumberFormat="1" applyBorder="1" applyAlignment="1">
      <alignment horizontal="center" vertical="center"/>
    </xf>
    <xf numFmtId="0" fontId="14" fillId="0" borderId="11" xfId="4" applyFont="1" applyBorder="1"/>
    <xf numFmtId="0" fontId="14" fillId="0" borderId="12" xfId="4" applyFont="1" applyBorder="1"/>
    <xf numFmtId="0" fontId="13" fillId="4" borderId="13" xfId="4" applyFont="1" applyFill="1" applyBorder="1" applyAlignment="1">
      <alignment horizontal="center" vertical="center"/>
    </xf>
    <xf numFmtId="0" fontId="13" fillId="4" borderId="10" xfId="4" applyFont="1" applyFill="1" applyBorder="1" applyAlignment="1">
      <alignment horizontal="center" vertical="center"/>
    </xf>
    <xf numFmtId="0" fontId="0" fillId="0" borderId="0" xfId="0" applyAlignment="1">
      <alignment vertical="center"/>
    </xf>
    <xf numFmtId="0" fontId="13" fillId="4" borderId="15" xfId="4" applyFont="1" applyFill="1" applyBorder="1" applyAlignment="1">
      <alignment vertical="center"/>
    </xf>
    <xf numFmtId="0" fontId="13" fillId="4" borderId="11" xfId="4" applyFont="1" applyFill="1" applyBorder="1" applyAlignment="1">
      <alignment horizontal="center" vertical="center"/>
    </xf>
    <xf numFmtId="0" fontId="6" fillId="0" borderId="0" xfId="0" applyFont="1" applyAlignment="1">
      <alignment horizontal="center" vertical="center" wrapText="1"/>
    </xf>
    <xf numFmtId="0" fontId="3" fillId="3" borderId="0" xfId="0" applyFont="1" applyFill="1" applyAlignment="1">
      <alignment horizontal="center" vertical="center" wrapText="1"/>
    </xf>
    <xf numFmtId="0" fontId="16" fillId="5" borderId="0" xfId="0" applyFont="1" applyFill="1" applyAlignment="1">
      <alignment horizontal="center" vertical="center" wrapText="1"/>
    </xf>
    <xf numFmtId="0" fontId="3" fillId="0" borderId="0" xfId="0" applyFont="1" applyAlignment="1">
      <alignment horizontal="center" vertical="center" wrapText="1"/>
    </xf>
    <xf numFmtId="0" fontId="4" fillId="3" borderId="0" xfId="0" applyFont="1" applyFill="1" applyAlignment="1">
      <alignment horizontal="center" vertical="center" wrapText="1"/>
    </xf>
    <xf numFmtId="0" fontId="5" fillId="0" borderId="0" xfId="0" applyFont="1" applyAlignment="1">
      <alignment horizontal="center" vertical="center" wrapText="1"/>
    </xf>
    <xf numFmtId="0" fontId="0" fillId="0" borderId="1" xfId="0" applyBorder="1"/>
    <xf numFmtId="0" fontId="17" fillId="0" borderId="1" xfId="0" applyFont="1" applyBorder="1" applyAlignment="1">
      <alignment horizontal="left" vertical="center"/>
    </xf>
    <xf numFmtId="0" fontId="13" fillId="4" borderId="14" xfId="4" applyFont="1" applyFill="1" applyBorder="1" applyAlignment="1">
      <alignment horizontal="center" vertic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3" fillId="4" borderId="17" xfId="4" applyFont="1" applyFill="1" applyBorder="1" applyAlignment="1">
      <alignment vertical="center"/>
    </xf>
    <xf numFmtId="0" fontId="13" fillId="4" borderId="15" xfId="4" applyFont="1" applyFill="1" applyBorder="1" applyAlignment="1">
      <alignment horizontal="center" vertical="center"/>
    </xf>
    <xf numFmtId="0" fontId="23" fillId="0" borderId="0" xfId="0" applyFont="1"/>
    <xf numFmtId="0" fontId="1" fillId="3" borderId="1" xfId="0" applyFont="1" applyFill="1" applyBorder="1" applyAlignment="1">
      <alignment horizontal="center" vertical="center" wrapText="1"/>
    </xf>
    <xf numFmtId="167" fontId="23" fillId="0" borderId="1" xfId="5" applyNumberFormat="1" applyFont="1" applyFill="1" applyBorder="1" applyAlignment="1">
      <alignment horizontal="center" vertical="center" wrapText="1"/>
    </xf>
    <xf numFmtId="167" fontId="23" fillId="0" borderId="1" xfId="5" applyNumberFormat="1" applyFont="1" applyFill="1" applyBorder="1" applyAlignment="1">
      <alignment horizontal="right" vertical="center" wrapText="1"/>
    </xf>
    <xf numFmtId="1" fontId="23" fillId="0" borderId="1" xfId="5" applyNumberFormat="1" applyFont="1" applyFill="1" applyBorder="1" applyAlignment="1">
      <alignment horizontal="right" vertical="center" wrapText="1"/>
    </xf>
    <xf numFmtId="0" fontId="27" fillId="6" borderId="1" xfId="0" applyFont="1" applyFill="1" applyBorder="1" applyAlignment="1">
      <alignment horizontal="center" vertical="center" wrapText="1"/>
    </xf>
    <xf numFmtId="9" fontId="27" fillId="6" borderId="1" xfId="0" applyNumberFormat="1" applyFont="1" applyFill="1" applyBorder="1" applyAlignment="1">
      <alignment horizontal="center" vertical="center" wrapText="1"/>
    </xf>
    <xf numFmtId="167" fontId="23" fillId="6" borderId="1" xfId="5" applyNumberFormat="1" applyFont="1" applyFill="1" applyBorder="1" applyAlignment="1">
      <alignment horizontal="center" vertical="center" wrapText="1"/>
    </xf>
    <xf numFmtId="0" fontId="23" fillId="0" borderId="1" xfId="5" applyNumberFormat="1" applyFont="1" applyFill="1" applyBorder="1" applyAlignment="1">
      <alignment horizontal="right" vertical="center" wrapText="1"/>
    </xf>
    <xf numFmtId="9" fontId="23" fillId="7" borderId="1" xfId="6" applyFont="1" applyFill="1" applyBorder="1" applyAlignment="1">
      <alignment horizontal="center" vertical="center" wrapText="1"/>
    </xf>
    <xf numFmtId="0" fontId="23" fillId="0" borderId="1" xfId="0" applyFont="1" applyBorder="1" applyAlignment="1">
      <alignment vertical="center" wrapText="1"/>
    </xf>
    <xf numFmtId="0" fontId="26" fillId="0" borderId="1" xfId="0" applyFont="1" applyBorder="1" applyAlignment="1">
      <alignment vertical="center" wrapText="1"/>
    </xf>
    <xf numFmtId="0" fontId="23" fillId="0" borderId="0" xfId="0" applyFont="1" applyAlignment="1">
      <alignment wrapText="1"/>
    </xf>
    <xf numFmtId="1" fontId="29" fillId="0" borderId="1" xfId="0" applyNumberFormat="1" applyFont="1" applyBorder="1" applyAlignment="1">
      <alignment horizontal="center" vertical="center" wrapText="1"/>
    </xf>
    <xf numFmtId="1" fontId="23" fillId="7" borderId="1" xfId="5" applyNumberFormat="1" applyFont="1" applyFill="1" applyBorder="1" applyAlignment="1">
      <alignment horizontal="right" vertical="center" wrapText="1"/>
    </xf>
    <xf numFmtId="167" fontId="29" fillId="0" borderId="1" xfId="5" applyNumberFormat="1" applyFont="1" applyFill="1" applyBorder="1" applyAlignment="1">
      <alignment horizontal="center" vertical="center" wrapText="1"/>
    </xf>
    <xf numFmtId="43" fontId="23" fillId="0" borderId="1" xfId="5" applyFont="1" applyFill="1" applyBorder="1" applyAlignment="1">
      <alignment horizontal="right" vertical="center" wrapText="1"/>
    </xf>
    <xf numFmtId="2" fontId="23" fillId="0" borderId="1" xfId="5" applyNumberFormat="1" applyFont="1" applyFill="1" applyBorder="1" applyAlignment="1">
      <alignment horizontal="right" vertical="center" wrapText="1"/>
    </xf>
    <xf numFmtId="0" fontId="29" fillId="6" borderId="1" xfId="0" applyFont="1" applyFill="1" applyBorder="1" applyAlignment="1">
      <alignment horizontal="center" vertical="center" wrapText="1"/>
    </xf>
    <xf numFmtId="1" fontId="29" fillId="6" borderId="1" xfId="5" applyNumberFormat="1" applyFont="1" applyFill="1" applyBorder="1" applyAlignment="1">
      <alignment horizontal="center" vertical="center" wrapText="1"/>
    </xf>
    <xf numFmtId="167" fontId="29" fillId="6" borderId="1" xfId="5"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0" borderId="0" xfId="0" applyFont="1" applyAlignment="1">
      <alignment horizontal="center" vertical="center"/>
    </xf>
    <xf numFmtId="0" fontId="29" fillId="0" borderId="0" xfId="0" applyFont="1" applyAlignment="1">
      <alignment horizontal="center"/>
    </xf>
    <xf numFmtId="1" fontId="23" fillId="0" borderId="0" xfId="0" applyNumberFormat="1" applyFont="1" applyAlignment="1">
      <alignment horizontal="center" vertical="center"/>
    </xf>
    <xf numFmtId="0" fontId="29" fillId="0" borderId="0" xfId="0" applyFont="1" applyAlignment="1">
      <alignment horizontal="center" vertical="center" wrapText="1"/>
    </xf>
    <xf numFmtId="164" fontId="23" fillId="0" borderId="0" xfId="0" applyNumberFormat="1" applyFont="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23" fillId="0" borderId="0" xfId="0" applyFont="1" applyAlignment="1">
      <alignment horizontal="center" vertical="center" wrapText="1"/>
    </xf>
    <xf numFmtId="42" fontId="23" fillId="0" borderId="0" xfId="0" applyNumberFormat="1" applyFont="1" applyAlignment="1">
      <alignment horizontal="center" vertical="center" wrapText="1"/>
    </xf>
    <xf numFmtId="0" fontId="23" fillId="0" borderId="0" xfId="0" applyFont="1" applyAlignment="1">
      <alignment horizontal="center"/>
    </xf>
    <xf numFmtId="167" fontId="31" fillId="0" borderId="1" xfId="5" applyNumberFormat="1" applyFont="1" applyFill="1" applyBorder="1" applyAlignment="1">
      <alignment horizontal="right" vertical="center" wrapText="1"/>
    </xf>
    <xf numFmtId="165" fontId="23" fillId="0" borderId="1" xfId="0" applyNumberFormat="1" applyFont="1" applyBorder="1" applyAlignment="1">
      <alignment vertical="center"/>
    </xf>
    <xf numFmtId="0" fontId="23" fillId="0" borderId="1" xfId="0" applyFont="1" applyBorder="1"/>
    <xf numFmtId="166" fontId="23" fillId="0" borderId="1" xfId="0" applyNumberFormat="1" applyFont="1" applyBorder="1" applyAlignment="1">
      <alignment horizontal="right" vertical="center" wrapText="1"/>
    </xf>
    <xf numFmtId="1" fontId="1" fillId="6" borderId="1" xfId="0" applyNumberFormat="1" applyFont="1" applyFill="1" applyBorder="1" applyAlignment="1">
      <alignment horizontal="center" vertical="center" wrapText="1"/>
    </xf>
    <xf numFmtId="43" fontId="23" fillId="0" borderId="1" xfId="5" applyFont="1" applyBorder="1" applyAlignment="1">
      <alignment horizontal="center" vertical="center" wrapText="1"/>
    </xf>
    <xf numFmtId="43" fontId="23" fillId="0" borderId="1" xfId="5" applyFont="1" applyBorder="1" applyAlignment="1">
      <alignment horizontal="right" vertical="center" wrapText="1"/>
    </xf>
    <xf numFmtId="0" fontId="23" fillId="0" borderId="1" xfId="0" applyFont="1" applyBorder="1" applyAlignment="1">
      <alignment wrapText="1"/>
    </xf>
    <xf numFmtId="1" fontId="29" fillId="0" borderId="1" xfId="5" applyNumberFormat="1" applyFont="1" applyFill="1" applyBorder="1" applyAlignment="1">
      <alignment horizontal="center" vertical="center" wrapText="1"/>
    </xf>
    <xf numFmtId="0" fontId="23" fillId="0" borderId="1" xfId="0" applyFont="1" applyBorder="1" applyAlignment="1">
      <alignment horizontal="left" vertical="center" wrapText="1"/>
    </xf>
    <xf numFmtId="1" fontId="23" fillId="0" borderId="1" xfId="5" applyNumberFormat="1" applyFont="1" applyFill="1" applyBorder="1" applyAlignment="1">
      <alignment horizontal="center" vertical="center" wrapText="1"/>
    </xf>
    <xf numFmtId="0" fontId="32" fillId="0" borderId="1" xfId="0" applyFont="1" applyBorder="1"/>
    <xf numFmtId="17" fontId="23" fillId="0" borderId="1" xfId="0" applyNumberFormat="1" applyFont="1" applyBorder="1"/>
    <xf numFmtId="0" fontId="1" fillId="8" borderId="1" xfId="0" applyFont="1" applyFill="1" applyBorder="1" applyAlignment="1">
      <alignment horizontal="center" vertical="center" wrapText="1"/>
    </xf>
    <xf numFmtId="0" fontId="1" fillId="0" borderId="5" xfId="0" applyFont="1" applyBorder="1" applyAlignment="1">
      <alignment horizontal="center" vertical="center"/>
    </xf>
    <xf numFmtId="0" fontId="23" fillId="6" borderId="1" xfId="0" applyFont="1" applyFill="1" applyBorder="1"/>
    <xf numFmtId="0" fontId="23" fillId="6" borderId="1" xfId="0" applyFont="1" applyFill="1" applyBorder="1" applyAlignment="1">
      <alignment wrapText="1"/>
    </xf>
    <xf numFmtId="43" fontId="24" fillId="6" borderId="1" xfId="5" applyFont="1" applyFill="1" applyBorder="1" applyAlignment="1">
      <alignment horizontal="center" vertical="center" wrapText="1"/>
    </xf>
    <xf numFmtId="10" fontId="24" fillId="6" borderId="1" xfId="6" applyNumberFormat="1" applyFont="1" applyFill="1" applyBorder="1" applyAlignment="1">
      <alignment horizontal="center" vertical="center" wrapText="1"/>
    </xf>
    <xf numFmtId="9" fontId="38" fillId="6" borderId="1" xfId="5" applyNumberFormat="1" applyFont="1" applyFill="1" applyBorder="1" applyAlignment="1">
      <alignment horizontal="center" vertical="center"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167" fontId="23" fillId="7" borderId="1" xfId="5" applyNumberFormat="1" applyFont="1" applyFill="1" applyBorder="1" applyAlignment="1">
      <alignment horizontal="right" vertical="center" wrapText="1"/>
    </xf>
    <xf numFmtId="0" fontId="23" fillId="7" borderId="1" xfId="0" applyFont="1" applyFill="1" applyBorder="1" applyAlignment="1">
      <alignment horizontal="left" vertical="center" wrapText="1"/>
    </xf>
    <xf numFmtId="0" fontId="42" fillId="7" borderId="1" xfId="0" applyFont="1" applyFill="1" applyBorder="1" applyAlignment="1">
      <alignment horizontal="justify" vertical="center" wrapText="1"/>
    </xf>
    <xf numFmtId="0" fontId="42" fillId="7" borderId="1" xfId="0" applyFont="1" applyFill="1" applyBorder="1" applyAlignment="1">
      <alignment horizontal="justify" vertical="center"/>
    </xf>
    <xf numFmtId="1" fontId="23" fillId="7" borderId="1" xfId="0" applyNumberFormat="1" applyFont="1" applyFill="1" applyBorder="1" applyAlignment="1">
      <alignment horizontal="center" vertical="center" wrapText="1"/>
    </xf>
    <xf numFmtId="167" fontId="23" fillId="7" borderId="1" xfId="5" applyNumberFormat="1" applyFont="1" applyFill="1" applyBorder="1" applyAlignment="1">
      <alignment horizontal="center" vertical="center" wrapText="1"/>
    </xf>
    <xf numFmtId="166" fontId="23" fillId="7" borderId="1" xfId="7" applyNumberFormat="1" applyFont="1" applyFill="1" applyBorder="1" applyAlignment="1">
      <alignment horizontal="right" vertical="center" wrapText="1"/>
    </xf>
    <xf numFmtId="1" fontId="29" fillId="7" borderId="1" xfId="5"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0" fontId="23" fillId="7" borderId="1" xfId="0" applyFont="1" applyFill="1" applyBorder="1"/>
    <xf numFmtId="0" fontId="23" fillId="7" borderId="1" xfId="0" applyFont="1" applyFill="1" applyBorder="1" applyAlignment="1">
      <alignment wrapText="1"/>
    </xf>
    <xf numFmtId="17" fontId="23" fillId="7" borderId="1" xfId="0" applyNumberFormat="1" applyFont="1" applyFill="1" applyBorder="1"/>
    <xf numFmtId="0" fontId="23" fillId="7" borderId="0" xfId="0" applyFont="1" applyFill="1"/>
    <xf numFmtId="165" fontId="23" fillId="7" borderId="1" xfId="7" applyNumberFormat="1" applyFont="1" applyFill="1" applyBorder="1" applyAlignment="1">
      <alignment vertical="center"/>
    </xf>
    <xf numFmtId="0" fontId="26" fillId="7" borderId="1" xfId="0" applyFont="1" applyFill="1" applyBorder="1" applyAlignment="1">
      <alignment vertical="center" wrapText="1"/>
    </xf>
    <xf numFmtId="0" fontId="23" fillId="7" borderId="1" xfId="0" applyFont="1" applyFill="1" applyBorder="1" applyAlignment="1">
      <alignment vertical="center" wrapText="1"/>
    </xf>
    <xf numFmtId="1" fontId="33" fillId="7" borderId="1" xfId="0" applyNumberFormat="1" applyFont="1" applyFill="1" applyBorder="1" applyAlignment="1">
      <alignment horizontal="center" vertical="center" wrapText="1"/>
    </xf>
    <xf numFmtId="167" fontId="37" fillId="6" borderId="1" xfId="5" applyNumberFormat="1" applyFont="1" applyFill="1" applyBorder="1" applyAlignment="1">
      <alignment horizontal="center" vertical="center" wrapText="1"/>
    </xf>
    <xf numFmtId="167" fontId="44" fillId="6" borderId="1" xfId="5" applyNumberFormat="1" applyFont="1" applyFill="1" applyBorder="1" applyAlignment="1">
      <alignment horizontal="center" vertical="center" wrapText="1"/>
    </xf>
    <xf numFmtId="0" fontId="37" fillId="0" borderId="0" xfId="0" applyFont="1"/>
    <xf numFmtId="166" fontId="23" fillId="0" borderId="1" xfId="0" applyNumberFormat="1" applyFont="1" applyBorder="1" applyAlignment="1">
      <alignment horizontal="left" vertical="center" wrapText="1"/>
    </xf>
    <xf numFmtId="0" fontId="38" fillId="6" borderId="1" xfId="0" applyFont="1" applyFill="1" applyBorder="1" applyAlignment="1">
      <alignment horizontal="center" vertical="center" wrapText="1"/>
    </xf>
    <xf numFmtId="9" fontId="38" fillId="6" borderId="1" xfId="0" applyNumberFormat="1" applyFont="1" applyFill="1" applyBorder="1" applyAlignment="1">
      <alignment horizontal="center" vertical="center" wrapText="1"/>
    </xf>
    <xf numFmtId="3" fontId="37" fillId="6" borderId="1" xfId="0" applyNumberFormat="1" applyFont="1" applyFill="1" applyBorder="1" applyAlignment="1">
      <alignment horizontal="left" vertical="center" wrapText="1"/>
    </xf>
    <xf numFmtId="1" fontId="37" fillId="6" borderId="1" xfId="0" applyNumberFormat="1" applyFont="1" applyFill="1" applyBorder="1" applyAlignment="1">
      <alignment horizontal="center" vertical="center" wrapText="1"/>
    </xf>
    <xf numFmtId="1" fontId="35" fillId="6" borderId="1" xfId="0" applyNumberFormat="1" applyFont="1" applyFill="1" applyBorder="1" applyAlignment="1">
      <alignment horizontal="center" vertical="center" wrapText="1"/>
    </xf>
    <xf numFmtId="1" fontId="37" fillId="6" borderId="1" xfId="5" applyNumberFormat="1" applyFont="1" applyFill="1" applyBorder="1" applyAlignment="1">
      <alignment horizontal="right" vertical="center" wrapText="1"/>
    </xf>
    <xf numFmtId="43" fontId="35" fillId="6" borderId="1" xfId="5" applyFont="1" applyFill="1" applyBorder="1" applyAlignment="1">
      <alignment horizontal="center" vertical="center" wrapText="1"/>
    </xf>
    <xf numFmtId="10" fontId="35" fillId="6" borderId="1" xfId="6" applyNumberFormat="1" applyFont="1" applyFill="1" applyBorder="1" applyAlignment="1">
      <alignment horizontal="center" vertical="center" wrapText="1"/>
    </xf>
    <xf numFmtId="0" fontId="37" fillId="6" borderId="1" xfId="0" applyFont="1" applyFill="1" applyBorder="1"/>
    <xf numFmtId="0" fontId="37" fillId="6" borderId="1" xfId="0" applyFont="1" applyFill="1" applyBorder="1" applyAlignment="1">
      <alignment wrapText="1"/>
    </xf>
    <xf numFmtId="0" fontId="37" fillId="6" borderId="1" xfId="0" applyFont="1" applyFill="1" applyBorder="1" applyAlignment="1">
      <alignment horizontal="center" vertical="center" wrapText="1"/>
    </xf>
    <xf numFmtId="3" fontId="37" fillId="6" borderId="1" xfId="0" applyNumberFormat="1" applyFont="1" applyFill="1" applyBorder="1" applyAlignment="1">
      <alignment horizontal="center" vertical="center" wrapText="1"/>
    </xf>
    <xf numFmtId="10" fontId="35" fillId="6" borderId="1" xfId="0" applyNumberFormat="1" applyFont="1" applyFill="1" applyBorder="1" applyAlignment="1">
      <alignment horizontal="center" vertical="center" wrapText="1"/>
    </xf>
    <xf numFmtId="167" fontId="38" fillId="6" borderId="1" xfId="5" applyNumberFormat="1" applyFont="1" applyFill="1" applyBorder="1" applyAlignment="1">
      <alignment horizontal="right" vertical="center" wrapText="1"/>
    </xf>
    <xf numFmtId="1" fontId="44" fillId="6" borderId="1" xfId="0" applyNumberFormat="1" applyFont="1" applyFill="1" applyBorder="1" applyAlignment="1">
      <alignment horizontal="center" vertical="center" wrapText="1"/>
    </xf>
    <xf numFmtId="43" fontId="45" fillId="6" borderId="1" xfId="5" applyFont="1" applyFill="1" applyBorder="1" applyAlignment="1">
      <alignment horizontal="center" vertical="center" wrapText="1"/>
    </xf>
    <xf numFmtId="10" fontId="45" fillId="6" borderId="1" xfId="6" applyNumberFormat="1" applyFont="1" applyFill="1" applyBorder="1" applyAlignment="1">
      <alignment horizontal="center" vertical="center" wrapText="1"/>
    </xf>
    <xf numFmtId="3" fontId="35" fillId="6" borderId="1" xfId="0" applyNumberFormat="1" applyFont="1" applyFill="1" applyBorder="1" applyAlignment="1">
      <alignment horizontal="right" vertical="center" wrapText="1"/>
    </xf>
    <xf numFmtId="3" fontId="35" fillId="6" borderId="1" xfId="0" applyNumberFormat="1" applyFont="1" applyFill="1" applyBorder="1" applyAlignment="1">
      <alignment horizontal="center" vertical="center" wrapText="1"/>
    </xf>
    <xf numFmtId="0" fontId="44" fillId="6" borderId="1" xfId="0" applyFont="1" applyFill="1" applyBorder="1" applyAlignment="1">
      <alignment horizontal="center" vertical="center" wrapText="1"/>
    </xf>
    <xf numFmtId="1" fontId="23" fillId="7" borderId="1" xfId="6" applyNumberFormat="1" applyFont="1" applyFill="1" applyBorder="1" applyAlignment="1">
      <alignment horizontal="right" vertical="center" wrapText="1"/>
    </xf>
    <xf numFmtId="14" fontId="23" fillId="0" borderId="1" xfId="5" applyNumberFormat="1" applyFont="1" applyFill="1" applyBorder="1" applyAlignment="1">
      <alignment horizontal="right" vertical="center" wrapText="1"/>
    </xf>
    <xf numFmtId="14" fontId="23" fillId="0" borderId="1" xfId="6" applyNumberFormat="1" applyFont="1" applyFill="1" applyBorder="1" applyAlignment="1">
      <alignment horizontal="center" vertical="center" wrapText="1"/>
    </xf>
    <xf numFmtId="14" fontId="35" fillId="6" borderId="1" xfId="0" applyNumberFormat="1" applyFont="1" applyFill="1" applyBorder="1" applyAlignment="1">
      <alignment horizontal="center" vertical="center" wrapText="1"/>
    </xf>
    <xf numFmtId="14" fontId="38" fillId="6" borderId="1" xfId="0" applyNumberFormat="1" applyFont="1" applyFill="1" applyBorder="1" applyAlignment="1">
      <alignment horizontal="center" vertical="center" wrapText="1"/>
    </xf>
    <xf numFmtId="14" fontId="1" fillId="6" borderId="1" xfId="0" applyNumberFormat="1" applyFont="1" applyFill="1" applyBorder="1" applyAlignment="1">
      <alignment horizontal="center" vertical="center" wrapText="1"/>
    </xf>
    <xf numFmtId="14" fontId="27" fillId="6" borderId="1" xfId="0" applyNumberFormat="1" applyFont="1" applyFill="1" applyBorder="1" applyAlignment="1">
      <alignment horizontal="center" vertical="center" wrapText="1"/>
    </xf>
    <xf numFmtId="167" fontId="23" fillId="0" borderId="1" xfId="5" applyNumberFormat="1" applyFont="1" applyFill="1" applyBorder="1" applyAlignment="1">
      <alignment horizontal="left" vertical="center" wrapText="1"/>
    </xf>
    <xf numFmtId="1" fontId="35" fillId="6" borderId="1" xfId="0"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3" fillId="7" borderId="1" xfId="7" applyFont="1" applyFill="1" applyBorder="1" applyAlignment="1">
      <alignment horizontal="left" vertical="center" wrapText="1"/>
    </xf>
    <xf numFmtId="0" fontId="23" fillId="0" borderId="0" xfId="0" applyFont="1" applyAlignment="1">
      <alignment horizontal="left" wrapText="1"/>
    </xf>
    <xf numFmtId="9" fontId="23" fillId="0" borderId="1" xfId="6" applyFont="1" applyBorder="1" applyAlignment="1">
      <alignment horizontal="center" vertical="center"/>
    </xf>
    <xf numFmtId="0" fontId="0" fillId="0" borderId="1" xfId="0" applyBorder="1" applyAlignment="1">
      <alignment horizontal="right" vertical="center" wrapText="1"/>
    </xf>
    <xf numFmtId="14" fontId="0" fillId="0" borderId="1" xfId="0" applyNumberFormat="1" applyBorder="1" applyAlignment="1">
      <alignment horizontal="right" vertical="center" wrapText="1"/>
    </xf>
    <xf numFmtId="14" fontId="0" fillId="0" borderId="1" xfId="0" applyNumberFormat="1" applyBorder="1" applyAlignment="1">
      <alignment horizontal="center" vertical="center" wrapText="1"/>
    </xf>
    <xf numFmtId="1" fontId="1" fillId="6" borderId="1" xfId="0" applyNumberFormat="1" applyFont="1" applyFill="1" applyBorder="1" applyAlignment="1">
      <alignment horizontal="left" vertical="center" wrapText="1"/>
    </xf>
    <xf numFmtId="0" fontId="1" fillId="0" borderId="9" xfId="0" applyFont="1" applyBorder="1" applyAlignment="1">
      <alignment horizontal="center" vertical="center" wrapText="1"/>
    </xf>
    <xf numFmtId="167" fontId="30" fillId="0" borderId="1" xfId="5" applyNumberFormat="1" applyFont="1" applyFill="1" applyBorder="1" applyAlignment="1">
      <alignment horizontal="right" vertical="center" wrapText="1"/>
    </xf>
    <xf numFmtId="44" fontId="35" fillId="6" borderId="1" xfId="6" applyNumberFormat="1" applyFont="1" applyFill="1" applyBorder="1" applyAlignment="1">
      <alignment horizontal="center" vertical="center" wrapText="1"/>
    </xf>
    <xf numFmtId="43" fontId="35" fillId="6" borderId="1" xfId="6" applyNumberFormat="1" applyFont="1" applyFill="1" applyBorder="1" applyAlignment="1">
      <alignment horizontal="center" vertical="center" wrapText="1"/>
    </xf>
    <xf numFmtId="44" fontId="35" fillId="6" borderId="1" xfId="8" applyFont="1" applyFill="1" applyBorder="1" applyAlignment="1">
      <alignment horizontal="center" vertical="center" wrapText="1"/>
    </xf>
    <xf numFmtId="9" fontId="35" fillId="6" borderId="1" xfId="0" applyNumberFormat="1" applyFont="1" applyFill="1" applyBorder="1" applyAlignment="1">
      <alignment horizontal="center" vertical="center" wrapText="1"/>
    </xf>
    <xf numFmtId="9" fontId="35" fillId="6" borderId="1" xfId="6" applyFont="1" applyFill="1" applyBorder="1" applyAlignment="1">
      <alignment horizontal="center" vertical="center" wrapText="1"/>
    </xf>
    <xf numFmtId="44" fontId="45" fillId="6" borderId="1" xfId="8" applyFont="1" applyFill="1" applyBorder="1" applyAlignment="1">
      <alignment horizontal="center" vertical="center" wrapText="1"/>
    </xf>
    <xf numFmtId="9" fontId="45" fillId="6" borderId="1" xfId="6" applyFont="1" applyFill="1" applyBorder="1" applyAlignment="1">
      <alignment horizontal="center" vertical="center" wrapText="1"/>
    </xf>
    <xf numFmtId="44" fontId="24" fillId="6" borderId="1" xfId="8" applyFont="1" applyFill="1" applyBorder="1" applyAlignment="1">
      <alignment horizontal="center" vertical="center" wrapText="1"/>
    </xf>
    <xf numFmtId="9" fontId="24" fillId="6" borderId="1" xfId="6" applyFont="1" applyFill="1" applyBorder="1" applyAlignment="1">
      <alignment horizontal="center" vertical="center" wrapText="1"/>
    </xf>
    <xf numFmtId="10" fontId="35" fillId="6" borderId="1" xfId="6" applyNumberFormat="1" applyFont="1" applyFill="1" applyBorder="1" applyAlignment="1">
      <alignment horizontal="right" vertical="center" wrapText="1"/>
    </xf>
    <xf numFmtId="1" fontId="37" fillId="8" borderId="21" xfId="0" applyNumberFormat="1" applyFont="1" applyFill="1" applyBorder="1" applyAlignment="1">
      <alignment horizontal="center" vertical="center" wrapText="1"/>
    </xf>
    <xf numFmtId="0" fontId="52" fillId="0" borderId="0" xfId="0" applyFont="1" applyAlignment="1">
      <alignment horizontal="justify" vertical="center"/>
    </xf>
    <xf numFmtId="0" fontId="53" fillId="0" borderId="0" xfId="0" applyFont="1" applyAlignment="1">
      <alignment horizontal="center" vertical="center"/>
    </xf>
    <xf numFmtId="0" fontId="53" fillId="0" borderId="0" xfId="0" applyFont="1" applyAlignment="1">
      <alignment horizontal="justify" vertical="center"/>
    </xf>
    <xf numFmtId="9" fontId="53" fillId="0" borderId="0" xfId="0" applyNumberFormat="1" applyFont="1" applyAlignment="1">
      <alignment horizontal="justify" vertical="center"/>
    </xf>
    <xf numFmtId="1" fontId="53" fillId="0" borderId="0" xfId="0" applyNumberFormat="1" applyFont="1" applyAlignment="1">
      <alignment horizontal="justify" vertical="center"/>
    </xf>
    <xf numFmtId="0" fontId="54" fillId="0" borderId="0" xfId="0" applyFont="1" applyAlignment="1">
      <alignment horizontal="justify" vertical="center"/>
    </xf>
    <xf numFmtId="9" fontId="0" fillId="0" borderId="0" xfId="0" applyNumberFormat="1"/>
    <xf numFmtId="0" fontId="55" fillId="0" borderId="0" xfId="0" applyFont="1" applyAlignment="1">
      <alignment vertical="center"/>
    </xf>
    <xf numFmtId="167" fontId="35" fillId="6" borderId="1" xfId="5" applyNumberFormat="1" applyFont="1" applyFill="1" applyBorder="1" applyAlignment="1">
      <alignment horizontal="center" vertical="center" wrapText="1"/>
    </xf>
    <xf numFmtId="43" fontId="35" fillId="17" borderId="21" xfId="0" applyNumberFormat="1" applyFont="1" applyFill="1" applyBorder="1" applyAlignment="1">
      <alignment horizontal="right" vertical="center" wrapText="1"/>
    </xf>
    <xf numFmtId="4" fontId="35" fillId="17" borderId="21" xfId="0" applyNumberFormat="1" applyFont="1" applyFill="1" applyBorder="1" applyAlignment="1">
      <alignment horizontal="right" vertical="center" wrapText="1"/>
    </xf>
    <xf numFmtId="10" fontId="35" fillId="17" borderId="21" xfId="6" applyNumberFormat="1" applyFont="1" applyFill="1" applyBorder="1" applyAlignment="1">
      <alignment horizontal="center" vertical="center" wrapText="1"/>
    </xf>
    <xf numFmtId="0" fontId="23" fillId="7" borderId="1" xfId="0" applyFont="1" applyFill="1" applyBorder="1" applyAlignment="1">
      <alignment horizontal="left" vertical="top" wrapText="1"/>
    </xf>
    <xf numFmtId="43" fontId="0" fillId="0" borderId="0" xfId="5" applyFont="1"/>
    <xf numFmtId="43" fontId="0" fillId="0" borderId="0" xfId="0" applyNumberFormat="1"/>
    <xf numFmtId="43" fontId="52" fillId="0" borderId="0" xfId="0" applyNumberFormat="1" applyFont="1" applyAlignment="1">
      <alignment horizontal="justify" vertical="center"/>
    </xf>
    <xf numFmtId="1" fontId="38" fillId="6" borderId="1" xfId="5" applyNumberFormat="1" applyFont="1" applyFill="1" applyBorder="1" applyAlignment="1">
      <alignment horizontal="center" vertical="center" wrapText="1"/>
    </xf>
    <xf numFmtId="9" fontId="38" fillId="6" borderId="1" xfId="5" applyNumberFormat="1" applyFont="1" applyFill="1" applyBorder="1" applyAlignment="1">
      <alignment horizontal="right" vertical="center" wrapText="1"/>
    </xf>
    <xf numFmtId="9" fontId="43" fillId="6" borderId="1" xfId="0" applyNumberFormat="1" applyFont="1" applyFill="1" applyBorder="1" applyAlignment="1">
      <alignment horizontal="right" vertical="center" wrapText="1"/>
    </xf>
    <xf numFmtId="9" fontId="43" fillId="6" borderId="1" xfId="0" applyNumberFormat="1" applyFont="1" applyFill="1" applyBorder="1" applyAlignment="1">
      <alignment horizontal="center" vertical="center" wrapText="1"/>
    </xf>
    <xf numFmtId="9" fontId="36" fillId="6" borderId="1" xfId="0" applyNumberFormat="1" applyFont="1" applyFill="1" applyBorder="1" applyAlignment="1">
      <alignment horizontal="right" vertical="center" wrapText="1"/>
    </xf>
    <xf numFmtId="9" fontId="36"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49" fontId="23" fillId="7" borderId="1" xfId="0" applyNumberFormat="1" applyFont="1" applyFill="1" applyBorder="1" applyAlignment="1">
      <alignment horizontal="left" vertical="center" wrapText="1"/>
    </xf>
    <xf numFmtId="43" fontId="35" fillId="8" borderId="21" xfId="0" applyNumberFormat="1" applyFont="1" applyFill="1" applyBorder="1" applyAlignment="1">
      <alignment horizontal="right" vertical="center" wrapText="1"/>
    </xf>
    <xf numFmtId="4" fontId="35" fillId="8" borderId="21" xfId="0" applyNumberFormat="1" applyFont="1" applyFill="1" applyBorder="1" applyAlignment="1">
      <alignment horizontal="right" vertical="center" wrapText="1"/>
    </xf>
    <xf numFmtId="10" fontId="35" fillId="8" borderId="21" xfId="6" applyNumberFormat="1" applyFont="1" applyFill="1" applyBorder="1" applyAlignment="1">
      <alignment horizontal="center" vertical="center" wrapText="1"/>
    </xf>
    <xf numFmtId="9" fontId="31" fillId="7" borderId="1" xfId="6" applyFont="1" applyFill="1" applyBorder="1" applyAlignment="1">
      <alignment horizontal="center" vertical="center" wrapText="1"/>
    </xf>
    <xf numFmtId="0" fontId="37" fillId="14" borderId="1" xfId="0" applyFont="1" applyFill="1" applyBorder="1"/>
    <xf numFmtId="9" fontId="36" fillId="8" borderId="1" xfId="0" applyNumberFormat="1" applyFont="1" applyFill="1" applyBorder="1" applyAlignment="1">
      <alignment horizontal="center" vertical="center" wrapText="1"/>
    </xf>
    <xf numFmtId="3" fontId="37" fillId="8" borderId="1" xfId="0" applyNumberFormat="1" applyFont="1" applyFill="1" applyBorder="1" applyAlignment="1">
      <alignment horizontal="center" vertical="center" wrapText="1"/>
    </xf>
    <xf numFmtId="1" fontId="37" fillId="8" borderId="1" xfId="0" applyNumberFormat="1" applyFont="1" applyFill="1" applyBorder="1" applyAlignment="1">
      <alignment horizontal="center" vertical="center" wrapText="1"/>
    </xf>
    <xf numFmtId="9" fontId="38" fillId="8" borderId="1" xfId="0" applyNumberFormat="1" applyFont="1" applyFill="1" applyBorder="1" applyAlignment="1">
      <alignment horizontal="center" vertical="center" wrapText="1"/>
    </xf>
    <xf numFmtId="1" fontId="23" fillId="8" borderId="1" xfId="5" applyNumberFormat="1" applyFont="1" applyFill="1" applyBorder="1" applyAlignment="1">
      <alignment horizontal="right" vertical="center" wrapText="1"/>
    </xf>
    <xf numFmtId="14" fontId="37" fillId="8" borderId="1" xfId="5" applyNumberFormat="1" applyFont="1" applyFill="1" applyBorder="1" applyAlignment="1">
      <alignment horizontal="center" vertical="center" wrapText="1"/>
    </xf>
    <xf numFmtId="167" fontId="23" fillId="8" borderId="1" xfId="5" applyNumberFormat="1" applyFont="1" applyFill="1" applyBorder="1" applyAlignment="1">
      <alignment horizontal="center" vertical="center" wrapText="1"/>
    </xf>
    <xf numFmtId="167" fontId="37" fillId="8" borderId="1" xfId="5" applyNumberFormat="1" applyFont="1" applyFill="1" applyBorder="1" applyAlignment="1">
      <alignment horizontal="center" vertical="center" wrapText="1"/>
    </xf>
    <xf numFmtId="9" fontId="36" fillId="9" borderId="1" xfId="0" applyNumberFormat="1" applyFont="1" applyFill="1" applyBorder="1" applyAlignment="1">
      <alignment horizontal="center" vertical="center" wrapText="1"/>
    </xf>
    <xf numFmtId="0" fontId="37" fillId="8" borderId="1" xfId="0" applyFont="1" applyFill="1" applyBorder="1" applyAlignment="1">
      <alignment wrapText="1"/>
    </xf>
    <xf numFmtId="43" fontId="35" fillId="8" borderId="1" xfId="0" applyNumberFormat="1" applyFont="1" applyFill="1" applyBorder="1" applyAlignment="1">
      <alignment horizontal="center" vertical="center" wrapText="1"/>
    </xf>
    <xf numFmtId="3" fontId="35" fillId="8" borderId="1" xfId="0" applyNumberFormat="1" applyFont="1" applyFill="1" applyBorder="1" applyAlignment="1">
      <alignment horizontal="center" vertical="center" wrapText="1"/>
    </xf>
    <xf numFmtId="10" fontId="35" fillId="8" borderId="1" xfId="6" applyNumberFormat="1" applyFont="1" applyFill="1" applyBorder="1" applyAlignment="1">
      <alignment horizontal="right" vertical="center" wrapText="1"/>
    </xf>
    <xf numFmtId="44" fontId="35" fillId="12" borderId="1" xfId="6" applyNumberFormat="1" applyFont="1" applyFill="1" applyBorder="1" applyAlignment="1">
      <alignment horizontal="center" vertical="center" wrapText="1"/>
    </xf>
    <xf numFmtId="43" fontId="35" fillId="12" borderId="1" xfId="6" applyNumberFormat="1" applyFont="1" applyFill="1" applyBorder="1" applyAlignment="1">
      <alignment horizontal="center" vertical="center" wrapText="1"/>
    </xf>
    <xf numFmtId="10" fontId="35" fillId="12" borderId="1" xfId="6" applyNumberFormat="1" applyFont="1" applyFill="1" applyBorder="1" applyAlignment="1">
      <alignment horizontal="center" vertical="center" wrapText="1"/>
    </xf>
    <xf numFmtId="43" fontId="35" fillId="17" borderId="1" xfId="0" applyNumberFormat="1" applyFont="1" applyFill="1" applyBorder="1" applyAlignment="1">
      <alignment horizontal="right" vertical="center" wrapText="1"/>
    </xf>
    <xf numFmtId="4" fontId="35" fillId="17" borderId="1" xfId="0" applyNumberFormat="1" applyFont="1" applyFill="1" applyBorder="1" applyAlignment="1">
      <alignment horizontal="right" vertical="center" wrapText="1"/>
    </xf>
    <xf numFmtId="10" fontId="35" fillId="17" borderId="1" xfId="6" applyNumberFormat="1" applyFont="1" applyFill="1" applyBorder="1" applyAlignment="1">
      <alignment horizontal="center" vertical="center" wrapText="1"/>
    </xf>
    <xf numFmtId="0" fontId="37" fillId="8" borderId="1" xfId="0" applyFont="1" applyFill="1" applyBorder="1"/>
    <xf numFmtId="0" fontId="23" fillId="7" borderId="0" xfId="0" applyFont="1" applyFill="1" applyAlignment="1">
      <alignment horizontal="center" vertical="center" textRotation="90" wrapText="1"/>
    </xf>
    <xf numFmtId="0" fontId="38" fillId="7" borderId="0" xfId="0" applyFont="1" applyFill="1" applyAlignment="1">
      <alignment horizontal="center" vertical="center" wrapText="1"/>
    </xf>
    <xf numFmtId="43" fontId="35" fillId="7" borderId="4" xfId="0" applyNumberFormat="1" applyFont="1" applyFill="1" applyBorder="1" applyAlignment="1">
      <alignment horizontal="right" vertical="center" wrapText="1"/>
    </xf>
    <xf numFmtId="4" fontId="35" fillId="7" borderId="4" xfId="0" applyNumberFormat="1" applyFont="1" applyFill="1" applyBorder="1" applyAlignment="1">
      <alignment horizontal="right" vertical="center" wrapText="1"/>
    </xf>
    <xf numFmtId="0" fontId="37" fillId="7" borderId="0" xfId="0" applyFont="1" applyFill="1"/>
    <xf numFmtId="3" fontId="37" fillId="8" borderId="1" xfId="0" applyNumberFormat="1" applyFont="1" applyFill="1" applyBorder="1" applyAlignment="1">
      <alignment vertical="center" wrapText="1"/>
    </xf>
    <xf numFmtId="10" fontId="35" fillId="7" borderId="29" xfId="6" applyNumberFormat="1"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0" fontId="37" fillId="14" borderId="1" xfId="0" applyFont="1" applyFill="1" applyBorder="1" applyAlignment="1">
      <alignment horizontal="center" vertical="center"/>
    </xf>
    <xf numFmtId="3" fontId="37" fillId="14" borderId="1" xfId="0" applyNumberFormat="1" applyFont="1" applyFill="1" applyBorder="1" applyAlignment="1">
      <alignment horizontal="right" vertical="center"/>
    </xf>
    <xf numFmtId="0" fontId="44" fillId="14" borderId="1" xfId="0" applyFont="1" applyFill="1" applyBorder="1" applyAlignment="1">
      <alignment horizontal="center"/>
    </xf>
    <xf numFmtId="0" fontId="44" fillId="14" borderId="1" xfId="0" applyFont="1" applyFill="1" applyBorder="1" applyAlignment="1">
      <alignment horizontal="center" vertical="center" wrapText="1"/>
    </xf>
    <xf numFmtId="164" fontId="37" fillId="14" borderId="1" xfId="0" applyNumberFormat="1" applyFont="1" applyFill="1" applyBorder="1" applyAlignment="1">
      <alignment horizontal="center" vertical="center"/>
    </xf>
    <xf numFmtId="0" fontId="51" fillId="14" borderId="1" xfId="0" applyFont="1" applyFill="1" applyBorder="1" applyAlignment="1">
      <alignment horizontal="center"/>
    </xf>
    <xf numFmtId="0" fontId="51" fillId="14" borderId="1" xfId="0" applyFont="1" applyFill="1" applyBorder="1" applyAlignment="1">
      <alignment horizontal="center" vertical="center"/>
    </xf>
    <xf numFmtId="0" fontId="37" fillId="14" borderId="1" xfId="0" applyFont="1" applyFill="1" applyBorder="1" applyAlignment="1">
      <alignment horizontal="left" wrapText="1"/>
    </xf>
    <xf numFmtId="42" fontId="37" fillId="14" borderId="1" xfId="0" applyNumberFormat="1" applyFont="1" applyFill="1" applyBorder="1" applyAlignment="1">
      <alignment horizontal="center" vertical="center" wrapText="1"/>
    </xf>
    <xf numFmtId="0" fontId="37" fillId="14" borderId="1" xfId="0" applyFont="1" applyFill="1" applyBorder="1" applyAlignment="1">
      <alignment horizontal="center"/>
    </xf>
    <xf numFmtId="0" fontId="37" fillId="14" borderId="1" xfId="0" applyFont="1" applyFill="1" applyBorder="1" applyAlignment="1">
      <alignment wrapText="1"/>
    </xf>
    <xf numFmtId="0" fontId="37" fillId="14" borderId="1" xfId="0" applyFont="1" applyFill="1" applyBorder="1" applyAlignment="1">
      <alignment vertical="center" wrapText="1"/>
    </xf>
    <xf numFmtId="0" fontId="35" fillId="6" borderId="1" xfId="0" applyFont="1" applyFill="1" applyBorder="1" applyAlignment="1">
      <alignment horizontal="center" vertical="center" wrapText="1"/>
    </xf>
    <xf numFmtId="0" fontId="37" fillId="6" borderId="1" xfId="0" applyFont="1" applyFill="1" applyBorder="1" applyAlignment="1">
      <alignment horizontal="center" vertical="center"/>
    </xf>
    <xf numFmtId="0" fontId="44" fillId="6" borderId="1" xfId="0" applyFont="1" applyFill="1" applyBorder="1" applyAlignment="1">
      <alignment horizontal="center"/>
    </xf>
    <xf numFmtId="164" fontId="37" fillId="6" borderId="1" xfId="0" applyNumberFormat="1" applyFont="1" applyFill="1" applyBorder="1" applyAlignment="1">
      <alignment horizontal="center" vertical="center"/>
    </xf>
    <xf numFmtId="0" fontId="51" fillId="6" borderId="1" xfId="0" applyFont="1" applyFill="1" applyBorder="1" applyAlignment="1">
      <alignment horizontal="center"/>
    </xf>
    <xf numFmtId="0" fontId="51" fillId="6" borderId="1" xfId="0" applyFont="1" applyFill="1" applyBorder="1" applyAlignment="1">
      <alignment horizontal="center" vertical="center"/>
    </xf>
    <xf numFmtId="0" fontId="37" fillId="6" borderId="1" xfId="0" applyFont="1" applyFill="1" applyBorder="1" applyAlignment="1">
      <alignment horizontal="left" wrapText="1"/>
    </xf>
    <xf numFmtId="42" fontId="37" fillId="6" borderId="1" xfId="0" applyNumberFormat="1" applyFont="1" applyFill="1" applyBorder="1" applyAlignment="1">
      <alignment horizontal="center" vertical="center" wrapText="1"/>
    </xf>
    <xf numFmtId="0" fontId="37" fillId="6" borderId="1" xfId="0" applyFont="1" applyFill="1" applyBorder="1" applyAlignment="1">
      <alignment horizontal="center"/>
    </xf>
    <xf numFmtId="0" fontId="37" fillId="6" borderId="1" xfId="0" applyFont="1" applyFill="1" applyBorder="1" applyAlignment="1">
      <alignment vertical="center" wrapText="1"/>
    </xf>
    <xf numFmtId="0" fontId="37" fillId="14" borderId="3" xfId="0" applyFont="1" applyFill="1" applyBorder="1" applyAlignment="1">
      <alignment wrapText="1"/>
    </xf>
    <xf numFmtId="0" fontId="38" fillId="6" borderId="1" xfId="0" applyFont="1" applyFill="1" applyBorder="1" applyAlignment="1">
      <alignment horizontal="right" vertical="center" wrapText="1"/>
    </xf>
    <xf numFmtId="3" fontId="37" fillId="6" borderId="1" xfId="0" applyNumberFormat="1" applyFont="1" applyFill="1" applyBorder="1" applyAlignment="1">
      <alignment horizontal="right" vertical="center"/>
    </xf>
    <xf numFmtId="0" fontId="23" fillId="0" borderId="0" xfId="0" applyFont="1" applyAlignment="1">
      <alignment horizontal="right"/>
    </xf>
    <xf numFmtId="167" fontId="31" fillId="7" borderId="1" xfId="5" applyNumberFormat="1" applyFont="1" applyFill="1" applyBorder="1" applyAlignment="1">
      <alignment horizontal="right" vertical="center" wrapText="1"/>
    </xf>
    <xf numFmtId="2" fontId="36" fillId="6"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1" fontId="23" fillId="7" borderId="1" xfId="6" applyNumberFormat="1" applyFont="1" applyFill="1" applyBorder="1" applyAlignment="1">
      <alignment vertical="center" wrapText="1"/>
    </xf>
    <xf numFmtId="168" fontId="23" fillId="7" borderId="1" xfId="6" applyNumberFormat="1" applyFont="1" applyFill="1" applyBorder="1" applyAlignment="1">
      <alignment horizontal="right" vertical="center" wrapText="1"/>
    </xf>
    <xf numFmtId="0" fontId="59" fillId="7" borderId="1" xfId="0" applyFont="1" applyFill="1" applyBorder="1" applyAlignment="1">
      <alignment horizontal="left" vertical="center" wrapText="1"/>
    </xf>
    <xf numFmtId="9" fontId="26" fillId="7" borderId="1" xfId="6" applyFont="1" applyFill="1" applyBorder="1" applyAlignment="1">
      <alignment horizontal="center" vertical="center"/>
    </xf>
    <xf numFmtId="43" fontId="67" fillId="6" borderId="1" xfId="5" applyFont="1" applyFill="1" applyBorder="1" applyAlignment="1">
      <alignment horizontal="center" vertical="center" wrapText="1"/>
    </xf>
    <xf numFmtId="9" fontId="23" fillId="6" borderId="1" xfId="6" applyFont="1" applyFill="1" applyBorder="1" applyAlignment="1">
      <alignment horizontal="center" vertical="center"/>
    </xf>
    <xf numFmtId="3" fontId="37" fillId="14" borderId="1" xfId="0" applyNumberFormat="1" applyFont="1" applyFill="1" applyBorder="1" applyAlignment="1">
      <alignment horizontal="right" vertical="center" indent="1"/>
    </xf>
    <xf numFmtId="167" fontId="44" fillId="14" borderId="1" xfId="5" applyNumberFormat="1" applyFont="1" applyFill="1" applyBorder="1" applyAlignment="1">
      <alignment horizontal="right" vertical="center" indent="1"/>
    </xf>
    <xf numFmtId="167" fontId="37" fillId="14" borderId="1" xfId="5" applyNumberFormat="1" applyFont="1" applyFill="1" applyBorder="1" applyAlignment="1">
      <alignment horizontal="right" vertical="center" indent="1"/>
    </xf>
    <xf numFmtId="167" fontId="35" fillId="15" borderId="1" xfId="5" applyNumberFormat="1" applyFont="1" applyFill="1" applyBorder="1" applyAlignment="1">
      <alignment horizontal="right" vertical="center" indent="1"/>
    </xf>
    <xf numFmtId="10" fontId="35" fillId="15" borderId="1" xfId="0" applyNumberFormat="1" applyFont="1" applyFill="1" applyBorder="1" applyAlignment="1">
      <alignment horizontal="right" vertical="center" indent="1"/>
    </xf>
    <xf numFmtId="9" fontId="35" fillId="15" borderId="1" xfId="6" applyFont="1" applyFill="1" applyBorder="1" applyAlignment="1">
      <alignment horizontal="right" vertical="center" indent="1"/>
    </xf>
    <xf numFmtId="3" fontId="37" fillId="6" borderId="1" xfId="0" applyNumberFormat="1" applyFont="1" applyFill="1" applyBorder="1" applyAlignment="1">
      <alignment horizontal="right" vertical="center" indent="1"/>
    </xf>
    <xf numFmtId="167" fontId="44" fillId="6" borderId="1" xfId="5" applyNumberFormat="1" applyFont="1" applyFill="1" applyBorder="1" applyAlignment="1">
      <alignment horizontal="right" vertical="center" indent="1"/>
    </xf>
    <xf numFmtId="167" fontId="37" fillId="6" borderId="1" xfId="5" applyNumberFormat="1" applyFont="1" applyFill="1" applyBorder="1" applyAlignment="1">
      <alignment horizontal="right" vertical="center" indent="1"/>
    </xf>
    <xf numFmtId="167" fontId="35" fillId="10" borderId="1" xfId="5" applyNumberFormat="1" applyFont="1" applyFill="1" applyBorder="1" applyAlignment="1">
      <alignment horizontal="right" vertical="center" indent="1"/>
    </xf>
    <xf numFmtId="10" fontId="35" fillId="10" borderId="1" xfId="0" applyNumberFormat="1" applyFont="1" applyFill="1" applyBorder="1" applyAlignment="1">
      <alignment horizontal="right" vertical="center" indent="1"/>
    </xf>
    <xf numFmtId="9" fontId="35" fillId="10" borderId="1" xfId="6" applyFont="1" applyFill="1" applyBorder="1" applyAlignment="1">
      <alignment horizontal="right" vertical="center" indent="1"/>
    </xf>
    <xf numFmtId="0" fontId="37" fillId="12" borderId="1" xfId="0" applyFont="1" applyFill="1" applyBorder="1" applyAlignment="1">
      <alignment vertical="center" wrapText="1"/>
    </xf>
    <xf numFmtId="2" fontId="38" fillId="6" borderId="1" xfId="5" applyNumberFormat="1" applyFont="1" applyFill="1" applyBorder="1" applyAlignment="1">
      <alignment horizontal="center" vertical="center" wrapText="1"/>
    </xf>
    <xf numFmtId="0" fontId="35" fillId="9" borderId="1"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37" fillId="9" borderId="1" xfId="0" applyFont="1" applyFill="1" applyBorder="1" applyAlignment="1">
      <alignment horizontal="center" vertical="center"/>
    </xf>
    <xf numFmtId="3" fontId="37" fillId="9" borderId="1" xfId="0" applyNumberFormat="1" applyFont="1" applyFill="1" applyBorder="1" applyAlignment="1">
      <alignment horizontal="right" vertical="center"/>
    </xf>
    <xf numFmtId="167" fontId="44" fillId="9" borderId="1" xfId="5" applyNumberFormat="1" applyFont="1" applyFill="1" applyBorder="1" applyAlignment="1">
      <alignment horizontal="right" vertical="center" indent="1"/>
    </xf>
    <xf numFmtId="10" fontId="23" fillId="7" borderId="21" xfId="6" applyNumberFormat="1" applyFont="1" applyFill="1" applyBorder="1" applyAlignment="1">
      <alignment horizontal="center" vertical="center" wrapText="1"/>
    </xf>
    <xf numFmtId="10" fontId="23" fillId="7" borderId="4" xfId="6" applyNumberFormat="1" applyFont="1" applyFill="1" applyBorder="1" applyAlignment="1">
      <alignment horizontal="center" vertical="center" wrapText="1"/>
    </xf>
    <xf numFmtId="10" fontId="23" fillId="7" borderId="3" xfId="6"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37" fillId="14" borderId="3" xfId="0" applyFont="1" applyFill="1" applyBorder="1" applyAlignment="1">
      <alignment horizontal="left" wrapText="1"/>
    </xf>
    <xf numFmtId="0" fontId="37" fillId="9" borderId="1" xfId="5" applyNumberFormat="1" applyFont="1" applyFill="1" applyBorder="1" applyAlignment="1">
      <alignment horizontal="right" vertical="center" indent="1"/>
    </xf>
    <xf numFmtId="44" fontId="35" fillId="8" borderId="21" xfId="6" applyNumberFormat="1" applyFont="1" applyFill="1" applyBorder="1" applyAlignment="1">
      <alignment horizontal="center" vertical="center" wrapText="1"/>
    </xf>
    <xf numFmtId="43" fontId="23" fillId="0" borderId="0" xfId="5" applyFont="1"/>
    <xf numFmtId="0" fontId="23" fillId="0" borderId="0" xfId="0" applyFont="1" applyAlignment="1">
      <alignment horizontal="left" vertical="center" wrapText="1"/>
    </xf>
    <xf numFmtId="3" fontId="37" fillId="9" borderId="1" xfId="0" applyNumberFormat="1" applyFont="1" applyFill="1" applyBorder="1" applyAlignment="1">
      <alignment horizontal="right" vertical="center" wrapText="1"/>
    </xf>
    <xf numFmtId="43" fontId="35" fillId="8" borderId="1" xfId="0" applyNumberFormat="1" applyFont="1" applyFill="1" applyBorder="1" applyAlignment="1">
      <alignment horizontal="right" vertical="center" wrapText="1"/>
    </xf>
    <xf numFmtId="4" fontId="35" fillId="8" borderId="1" xfId="0" applyNumberFormat="1" applyFont="1" applyFill="1" applyBorder="1" applyAlignment="1">
      <alignment horizontal="right" vertical="center" wrapText="1"/>
    </xf>
    <xf numFmtId="10" fontId="35" fillId="8" borderId="1" xfId="6"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0" fontId="17" fillId="0" borderId="0" xfId="0" applyFont="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8" fillId="0" borderId="1" xfId="0" applyFont="1" applyBorder="1" applyAlignment="1">
      <alignment horizontal="center" vertical="center"/>
    </xf>
    <xf numFmtId="0" fontId="0" fillId="0" borderId="5" xfId="0" applyBorder="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6" fillId="0" borderId="7"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9" xfId="0" applyFont="1" applyBorder="1" applyAlignment="1">
      <alignment horizontal="justify" vertical="center" wrapText="1"/>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8" xfId="0" applyBorder="1" applyAlignment="1">
      <alignment horizontal="center" vertical="center"/>
    </xf>
    <xf numFmtId="0" fontId="1" fillId="24" borderId="21" xfId="0" applyFont="1" applyFill="1" applyBorder="1" applyAlignment="1">
      <alignment horizontal="center" vertical="center" wrapText="1"/>
    </xf>
    <xf numFmtId="0" fontId="1" fillId="24" borderId="3" xfId="0" applyFont="1" applyFill="1" applyBorder="1" applyAlignment="1">
      <alignment horizontal="center" vertical="center" wrapText="1"/>
    </xf>
    <xf numFmtId="0" fontId="23" fillId="7" borderId="21" xfId="0" applyFont="1" applyFill="1" applyBorder="1" applyAlignment="1">
      <alignment horizontal="left" vertical="top" wrapText="1"/>
    </xf>
    <xf numFmtId="0" fontId="23" fillId="7" borderId="4" xfId="0" applyFont="1" applyFill="1" applyBorder="1" applyAlignment="1">
      <alignment horizontal="left" vertical="top" wrapText="1"/>
    </xf>
    <xf numFmtId="0" fontId="23" fillId="7" borderId="3" xfId="0" applyFont="1" applyFill="1" applyBorder="1" applyAlignment="1">
      <alignment horizontal="left" vertical="top" wrapText="1"/>
    </xf>
    <xf numFmtId="0" fontId="23" fillId="7" borderId="21"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3" xfId="0" applyFont="1" applyFill="1" applyBorder="1" applyAlignment="1">
      <alignment horizontal="left" vertical="center" wrapText="1"/>
    </xf>
    <xf numFmtId="0" fontId="23" fillId="0" borderId="21" xfId="0" applyFont="1" applyBorder="1" applyAlignment="1">
      <alignment horizontal="left" vertical="center" wrapText="1"/>
    </xf>
    <xf numFmtId="0" fontId="23" fillId="0" borderId="4" xfId="0" applyFont="1" applyBorder="1" applyAlignment="1">
      <alignment horizontal="left" vertical="center" wrapText="1"/>
    </xf>
    <xf numFmtId="0" fontId="23" fillId="0" borderId="3" xfId="0" applyFont="1" applyBorder="1" applyAlignment="1">
      <alignment horizontal="left" vertical="center" wrapText="1"/>
    </xf>
    <xf numFmtId="0" fontId="59" fillId="0" borderId="21" xfId="0" applyFont="1" applyBorder="1" applyAlignment="1">
      <alignment horizontal="left" vertical="center" wrapText="1"/>
    </xf>
    <xf numFmtId="0" fontId="59" fillId="0" borderId="4" xfId="0" applyFont="1" applyBorder="1" applyAlignment="1">
      <alignment horizontal="left" vertical="center" wrapText="1"/>
    </xf>
    <xf numFmtId="0" fontId="59" fillId="0" borderId="3" xfId="0" applyFont="1" applyBorder="1" applyAlignment="1">
      <alignment horizontal="left" vertical="center" wrapText="1"/>
    </xf>
    <xf numFmtId="0" fontId="56" fillId="7" borderId="21" xfId="0" applyFont="1" applyFill="1" applyBorder="1" applyAlignment="1">
      <alignment horizontal="left" vertical="center" wrapText="1"/>
    </xf>
    <xf numFmtId="0" fontId="56" fillId="7" borderId="4" xfId="0" applyFont="1" applyFill="1" applyBorder="1" applyAlignment="1">
      <alignment horizontal="left" vertical="center" wrapText="1"/>
    </xf>
    <xf numFmtId="0" fontId="56" fillId="7" borderId="3" xfId="0" applyFont="1" applyFill="1" applyBorder="1" applyAlignment="1">
      <alignment horizontal="left" vertical="center" wrapText="1"/>
    </xf>
    <xf numFmtId="0" fontId="39" fillId="7" borderId="4" xfId="0" applyFont="1" applyFill="1" applyBorder="1" applyAlignment="1">
      <alignment horizontal="left" vertical="top" wrapText="1"/>
    </xf>
    <xf numFmtId="0" fontId="39" fillId="7" borderId="3" xfId="0" applyFont="1" applyFill="1" applyBorder="1" applyAlignment="1">
      <alignment horizontal="left" vertical="top" wrapText="1"/>
    </xf>
    <xf numFmtId="0" fontId="26" fillId="0" borderId="21" xfId="0" applyFont="1" applyBorder="1" applyAlignment="1">
      <alignment vertical="center" wrapText="1"/>
    </xf>
    <xf numFmtId="0" fontId="23" fillId="0" borderId="3" xfId="0" applyFont="1" applyBorder="1" applyAlignment="1">
      <alignment vertical="center" wrapText="1"/>
    </xf>
    <xf numFmtId="0" fontId="23" fillId="7" borderId="21"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3" xfId="0" applyFont="1" applyFill="1" applyBorder="1" applyAlignment="1">
      <alignment horizontal="center" vertical="center" wrapText="1"/>
    </xf>
    <xf numFmtId="9" fontId="23" fillId="7" borderId="1" xfId="6" applyFont="1" applyFill="1" applyBorder="1" applyAlignment="1">
      <alignment horizontal="center" vertical="center" wrapText="1"/>
    </xf>
    <xf numFmtId="9" fontId="23" fillId="7" borderId="1" xfId="5" applyNumberFormat="1" applyFont="1" applyFill="1" applyBorder="1" applyAlignment="1">
      <alignment horizontal="center" vertical="center" wrapText="1"/>
    </xf>
    <xf numFmtId="9" fontId="26" fillId="7" borderId="1" xfId="6" applyFont="1" applyFill="1" applyBorder="1" applyAlignment="1">
      <alignment horizontal="center" vertical="center" wrapText="1"/>
    </xf>
    <xf numFmtId="9" fontId="26" fillId="7" borderId="21" xfId="6" applyFont="1" applyFill="1" applyBorder="1" applyAlignment="1">
      <alignment horizontal="center" vertical="center" wrapText="1"/>
    </xf>
    <xf numFmtId="9" fontId="26" fillId="7" borderId="4" xfId="6" applyFont="1" applyFill="1" applyBorder="1" applyAlignment="1">
      <alignment horizontal="center" vertical="center" wrapText="1"/>
    </xf>
    <xf numFmtId="9" fontId="0" fillId="0" borderId="4" xfId="6" applyFont="1" applyBorder="1" applyAlignment="1">
      <alignment horizontal="center" vertical="center" wrapText="1"/>
    </xf>
    <xf numFmtId="9" fontId="0" fillId="0" borderId="3" xfId="6" applyFont="1" applyBorder="1" applyAlignment="1">
      <alignment horizontal="center" vertical="center" wrapText="1"/>
    </xf>
    <xf numFmtId="9" fontId="26" fillId="7" borderId="1" xfId="5" applyNumberFormat="1" applyFont="1" applyFill="1" applyBorder="1" applyAlignment="1">
      <alignment horizontal="center" vertical="center" wrapText="1"/>
    </xf>
    <xf numFmtId="0" fontId="25" fillId="24" borderId="21" xfId="0" applyFont="1" applyFill="1" applyBorder="1" applyAlignment="1">
      <alignment horizontal="center" vertical="center" wrapText="1"/>
    </xf>
    <xf numFmtId="0" fontId="25" fillId="24" borderId="3" xfId="0" applyFont="1" applyFill="1" applyBorder="1" applyAlignment="1">
      <alignment horizontal="center" vertical="center" wrapText="1"/>
    </xf>
    <xf numFmtId="9" fontId="23" fillId="7" borderId="21" xfId="6" applyFont="1" applyFill="1" applyBorder="1" applyAlignment="1">
      <alignment horizontal="center" vertical="center" wrapText="1"/>
    </xf>
    <xf numFmtId="9" fontId="23" fillId="7" borderId="4" xfId="6" applyFont="1" applyFill="1" applyBorder="1" applyAlignment="1">
      <alignment horizontal="center" vertical="center" wrapText="1"/>
    </xf>
    <xf numFmtId="9" fontId="23" fillId="7" borderId="3" xfId="6" applyFont="1" applyFill="1" applyBorder="1" applyAlignment="1">
      <alignment horizontal="center" vertical="center" wrapText="1"/>
    </xf>
    <xf numFmtId="9" fontId="29" fillId="7" borderId="1" xfId="6" applyFont="1" applyFill="1" applyBorder="1" applyAlignment="1">
      <alignment horizontal="center" vertical="center" wrapText="1"/>
    </xf>
    <xf numFmtId="9" fontId="29" fillId="7" borderId="21" xfId="6" applyFont="1" applyFill="1" applyBorder="1" applyAlignment="1">
      <alignment horizontal="center" vertical="center" wrapText="1"/>
    </xf>
    <xf numFmtId="9" fontId="29" fillId="7" borderId="4" xfId="6" applyFont="1" applyFill="1" applyBorder="1" applyAlignment="1">
      <alignment horizontal="center" vertical="center" wrapText="1"/>
    </xf>
    <xf numFmtId="9" fontId="29" fillId="7" borderId="3" xfId="6" applyFont="1" applyFill="1" applyBorder="1" applyAlignment="1">
      <alignment horizontal="center" vertical="center" wrapText="1"/>
    </xf>
    <xf numFmtId="167" fontId="23" fillId="7" borderId="1" xfId="5" applyNumberFormat="1" applyFont="1" applyFill="1" applyBorder="1" applyAlignment="1">
      <alignment horizontal="right" vertical="center" wrapText="1"/>
    </xf>
    <xf numFmtId="1" fontId="23" fillId="7" borderId="1" xfId="5" applyNumberFormat="1" applyFont="1" applyFill="1" applyBorder="1" applyAlignment="1">
      <alignment horizontal="right" vertical="center"/>
    </xf>
    <xf numFmtId="167" fontId="23" fillId="7" borderId="1" xfId="5" applyNumberFormat="1" applyFont="1" applyFill="1" applyBorder="1" applyAlignment="1">
      <alignment horizontal="right" vertical="center"/>
    </xf>
    <xf numFmtId="1" fontId="26" fillId="7" borderId="1" xfId="5" applyNumberFormat="1" applyFont="1" applyFill="1" applyBorder="1" applyAlignment="1">
      <alignment horizontal="right" vertical="center" wrapText="1"/>
    </xf>
    <xf numFmtId="167" fontId="30" fillId="7" borderId="1" xfId="5" applyNumberFormat="1" applyFont="1" applyFill="1" applyBorder="1" applyAlignment="1">
      <alignment horizontal="right" vertical="center" wrapText="1"/>
    </xf>
    <xf numFmtId="1" fontId="23" fillId="7" borderId="1" xfId="5" applyNumberFormat="1" applyFont="1" applyFill="1" applyBorder="1" applyAlignment="1">
      <alignment horizontal="right" vertical="center" wrapText="1"/>
    </xf>
    <xf numFmtId="167" fontId="23" fillId="7" borderId="21" xfId="5" applyNumberFormat="1" applyFont="1" applyFill="1" applyBorder="1" applyAlignment="1">
      <alignment horizontal="right" vertical="center" wrapText="1"/>
    </xf>
    <xf numFmtId="167" fontId="23" fillId="7" borderId="4" xfId="5" applyNumberFormat="1" applyFont="1" applyFill="1" applyBorder="1" applyAlignment="1">
      <alignment horizontal="right" vertical="center" wrapText="1"/>
    </xf>
    <xf numFmtId="167" fontId="23" fillId="7" borderId="3" xfId="5" applyNumberFormat="1" applyFont="1" applyFill="1" applyBorder="1" applyAlignment="1">
      <alignment horizontal="right" vertical="center" wrapText="1"/>
    </xf>
    <xf numFmtId="167" fontId="26" fillId="7" borderId="1" xfId="5" applyNumberFormat="1" applyFont="1" applyFill="1" applyBorder="1" applyAlignment="1">
      <alignment horizontal="right" vertical="center" wrapText="1"/>
    </xf>
    <xf numFmtId="1" fontId="23" fillId="7" borderId="1" xfId="6" applyNumberFormat="1" applyFont="1" applyFill="1" applyBorder="1" applyAlignment="1">
      <alignment horizontal="right" vertical="center" wrapText="1"/>
    </xf>
    <xf numFmtId="9" fontId="26" fillId="7" borderId="3" xfId="6" applyFont="1" applyFill="1" applyBorder="1" applyAlignment="1">
      <alignment horizontal="center" vertical="center" wrapText="1"/>
    </xf>
    <xf numFmtId="9" fontId="23" fillId="7" borderId="21" xfId="5" applyNumberFormat="1" applyFont="1" applyFill="1" applyBorder="1" applyAlignment="1">
      <alignment horizontal="center" vertical="center" wrapText="1"/>
    </xf>
    <xf numFmtId="9" fontId="23" fillId="7" borderId="4" xfId="5" applyNumberFormat="1" applyFont="1" applyFill="1" applyBorder="1" applyAlignment="1">
      <alignment horizontal="center" vertical="center" wrapText="1"/>
    </xf>
    <xf numFmtId="9" fontId="23" fillId="7" borderId="3" xfId="5" applyNumberFormat="1" applyFont="1" applyFill="1" applyBorder="1" applyAlignment="1">
      <alignment horizontal="center" vertical="center" wrapText="1"/>
    </xf>
    <xf numFmtId="9" fontId="26" fillId="7" borderId="21" xfId="5" applyNumberFormat="1" applyFont="1" applyFill="1" applyBorder="1" applyAlignment="1">
      <alignment horizontal="center" vertical="center" wrapText="1"/>
    </xf>
    <xf numFmtId="9" fontId="26" fillId="7" borderId="3" xfId="5" applyNumberFormat="1" applyFont="1" applyFill="1" applyBorder="1" applyAlignment="1">
      <alignment horizontal="center" vertical="center" wrapText="1"/>
    </xf>
    <xf numFmtId="1" fontId="23" fillId="7" borderId="21" xfId="5" applyNumberFormat="1" applyFont="1" applyFill="1" applyBorder="1" applyAlignment="1">
      <alignment horizontal="right" vertical="center"/>
    </xf>
    <xf numFmtId="1" fontId="23" fillId="7" borderId="3" xfId="5" applyNumberFormat="1" applyFont="1" applyFill="1" applyBorder="1" applyAlignment="1">
      <alignment horizontal="right" vertical="center"/>
    </xf>
    <xf numFmtId="1" fontId="26" fillId="7" borderId="21" xfId="5" applyNumberFormat="1" applyFont="1" applyFill="1" applyBorder="1" applyAlignment="1">
      <alignment horizontal="right" vertical="center" wrapText="1"/>
    </xf>
    <xf numFmtId="1" fontId="26" fillId="7" borderId="4" xfId="5" applyNumberFormat="1" applyFont="1" applyFill="1" applyBorder="1" applyAlignment="1">
      <alignment horizontal="right" vertical="center" wrapText="1"/>
    </xf>
    <xf numFmtId="1" fontId="26" fillId="7" borderId="3" xfId="5" applyNumberFormat="1" applyFont="1" applyFill="1" applyBorder="1" applyAlignment="1">
      <alignment horizontal="right" vertical="center" wrapText="1"/>
    </xf>
    <xf numFmtId="167" fontId="30" fillId="7" borderId="21" xfId="5" applyNumberFormat="1" applyFont="1" applyFill="1" applyBorder="1" applyAlignment="1">
      <alignment horizontal="right" vertical="center" wrapText="1"/>
    </xf>
    <xf numFmtId="167" fontId="30" fillId="7" borderId="4" xfId="5" applyNumberFormat="1" applyFont="1" applyFill="1" applyBorder="1" applyAlignment="1">
      <alignment horizontal="right" vertical="center" wrapText="1"/>
    </xf>
    <xf numFmtId="167" fontId="30" fillId="7" borderId="3" xfId="5" applyNumberFormat="1" applyFont="1" applyFill="1" applyBorder="1" applyAlignment="1">
      <alignment horizontal="right" vertical="center" wrapText="1"/>
    </xf>
    <xf numFmtId="1" fontId="23" fillId="7" borderId="21" xfId="5" applyNumberFormat="1" applyFont="1" applyFill="1" applyBorder="1" applyAlignment="1">
      <alignment horizontal="right" vertical="center" wrapText="1"/>
    </xf>
    <xf numFmtId="1" fontId="23" fillId="7" borderId="4" xfId="5" applyNumberFormat="1" applyFont="1" applyFill="1" applyBorder="1" applyAlignment="1">
      <alignment horizontal="right" vertical="center" wrapText="1"/>
    </xf>
    <xf numFmtId="1" fontId="23" fillId="7" borderId="3" xfId="5" applyNumberFormat="1" applyFont="1" applyFill="1" applyBorder="1" applyAlignment="1">
      <alignment horizontal="right" vertical="center" wrapText="1"/>
    </xf>
    <xf numFmtId="167" fontId="23" fillId="7" borderId="1" xfId="5" applyNumberFormat="1" applyFont="1" applyFill="1" applyBorder="1" applyAlignment="1">
      <alignment horizontal="center" vertical="center" wrapText="1"/>
    </xf>
    <xf numFmtId="167" fontId="26" fillId="7" borderId="21" xfId="5" applyNumberFormat="1" applyFont="1" applyFill="1" applyBorder="1" applyAlignment="1">
      <alignment horizontal="right" vertical="center" wrapText="1"/>
    </xf>
    <xf numFmtId="167" fontId="26" fillId="7" borderId="4" xfId="5" applyNumberFormat="1" applyFont="1" applyFill="1" applyBorder="1" applyAlignment="1">
      <alignment horizontal="right" vertical="center" wrapText="1"/>
    </xf>
    <xf numFmtId="167" fontId="26" fillId="7" borderId="3" xfId="5" applyNumberFormat="1" applyFont="1" applyFill="1" applyBorder="1" applyAlignment="1">
      <alignment horizontal="right" vertical="center" wrapText="1"/>
    </xf>
    <xf numFmtId="167" fontId="34" fillId="25" borderId="21" xfId="5" applyNumberFormat="1" applyFont="1" applyFill="1" applyBorder="1" applyAlignment="1">
      <alignment horizontal="center" vertical="center" wrapText="1"/>
    </xf>
    <xf numFmtId="0" fontId="0" fillId="25" borderId="3" xfId="0" applyFill="1" applyBorder="1" applyAlignment="1">
      <alignment horizontal="center" vertical="center" wrapText="1"/>
    </xf>
    <xf numFmtId="167" fontId="34" fillId="25" borderId="3" xfId="5" applyNumberFormat="1" applyFont="1" applyFill="1" applyBorder="1" applyAlignment="1">
      <alignment horizontal="center" vertical="center" wrapText="1"/>
    </xf>
    <xf numFmtId="43" fontId="23" fillId="7" borderId="21" xfId="5" applyFont="1" applyFill="1" applyBorder="1" applyAlignment="1">
      <alignment horizontal="center" vertical="center"/>
    </xf>
    <xf numFmtId="43" fontId="0" fillId="7" borderId="4" xfId="0" applyNumberFormat="1" applyFill="1" applyBorder="1" applyAlignment="1">
      <alignment horizontal="center" vertical="center"/>
    </xf>
    <xf numFmtId="43" fontId="0" fillId="7" borderId="3" xfId="0" applyNumberFormat="1" applyFill="1" applyBorder="1" applyAlignment="1">
      <alignment horizontal="center" vertical="center"/>
    </xf>
    <xf numFmtId="43" fontId="23" fillId="7" borderId="21" xfId="5" applyFont="1" applyFill="1" applyBorder="1" applyAlignment="1">
      <alignment horizontal="center" vertical="center" wrapText="1"/>
    </xf>
    <xf numFmtId="43" fontId="0" fillId="7" borderId="4" xfId="0" applyNumberFormat="1" applyFill="1" applyBorder="1" applyAlignment="1">
      <alignment horizontal="center" vertical="center" wrapText="1"/>
    </xf>
    <xf numFmtId="43" fontId="0" fillId="7" borderId="3" xfId="0" applyNumberFormat="1" applyFill="1" applyBorder="1" applyAlignment="1">
      <alignment horizontal="center" vertical="center" wrapText="1"/>
    </xf>
    <xf numFmtId="10" fontId="23" fillId="7" borderId="21" xfId="6" applyNumberFormat="1" applyFont="1" applyFill="1" applyBorder="1" applyAlignment="1">
      <alignment horizontal="center" vertical="center" wrapText="1"/>
    </xf>
    <xf numFmtId="10" fontId="23" fillId="7" borderId="4" xfId="6" applyNumberFormat="1" applyFont="1" applyFill="1" applyBorder="1" applyAlignment="1">
      <alignment horizontal="center" vertical="center" wrapText="1"/>
    </xf>
    <xf numFmtId="10" fontId="23" fillId="7" borderId="3" xfId="6" applyNumberFormat="1" applyFont="1" applyFill="1" applyBorder="1" applyAlignment="1">
      <alignment horizontal="center" vertical="center" wrapText="1"/>
    </xf>
    <xf numFmtId="0" fontId="0" fillId="7" borderId="4" xfId="0" applyFill="1" applyBorder="1" applyAlignment="1">
      <alignment horizontal="right" vertical="center" wrapText="1"/>
    </xf>
    <xf numFmtId="0" fontId="0" fillId="7" borderId="3" xfId="0" applyFill="1" applyBorder="1" applyAlignment="1">
      <alignment horizontal="right" vertical="center" wrapText="1"/>
    </xf>
    <xf numFmtId="43" fontId="23" fillId="7" borderId="21" xfId="5" applyFont="1" applyFill="1" applyBorder="1" applyAlignment="1">
      <alignment horizontal="right" vertical="center"/>
    </xf>
    <xf numFmtId="43" fontId="0" fillId="7" borderId="4" xfId="0" applyNumberFormat="1" applyFill="1" applyBorder="1" applyAlignment="1">
      <alignment horizontal="right" vertical="center"/>
    </xf>
    <xf numFmtId="43" fontId="0" fillId="7" borderId="3" xfId="0" applyNumberFormat="1" applyFill="1" applyBorder="1" applyAlignment="1">
      <alignment horizontal="right" vertical="center"/>
    </xf>
    <xf numFmtId="0" fontId="0" fillId="7" borderId="4" xfId="0" applyFill="1" applyBorder="1" applyAlignment="1">
      <alignment horizontal="right" vertical="center"/>
    </xf>
    <xf numFmtId="0" fontId="0" fillId="7" borderId="3" xfId="0" applyFill="1" applyBorder="1" applyAlignment="1">
      <alignment horizontal="right" vertical="center"/>
    </xf>
    <xf numFmtId="43" fontId="23" fillId="7" borderId="21" xfId="5" applyFont="1" applyFill="1" applyBorder="1" applyAlignment="1">
      <alignment horizontal="right"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43" fontId="29" fillId="7" borderId="21" xfId="5" applyFont="1" applyFill="1" applyBorder="1" applyAlignment="1">
      <alignment horizontal="center" vertical="center" wrapText="1"/>
    </xf>
    <xf numFmtId="10" fontId="29" fillId="7" borderId="21" xfId="6" applyNumberFormat="1" applyFont="1" applyFill="1" applyBorder="1" applyAlignment="1">
      <alignment horizontal="center" vertical="center" wrapText="1"/>
    </xf>
    <xf numFmtId="10" fontId="29" fillId="7" borderId="4" xfId="6" applyNumberFormat="1" applyFont="1" applyFill="1" applyBorder="1" applyAlignment="1">
      <alignment horizontal="center" vertical="center" wrapText="1"/>
    </xf>
    <xf numFmtId="10" fontId="29" fillId="7" borderId="3" xfId="6" applyNumberFormat="1" applyFont="1" applyFill="1" applyBorder="1" applyAlignment="1">
      <alignment horizontal="center" vertical="center" wrapText="1"/>
    </xf>
    <xf numFmtId="167" fontId="34" fillId="15" borderId="21" xfId="5" applyNumberFormat="1" applyFont="1" applyFill="1" applyBorder="1" applyAlignment="1">
      <alignment horizontal="center" vertical="center" wrapText="1"/>
    </xf>
    <xf numFmtId="0" fontId="0" fillId="15" borderId="3" xfId="0" applyFill="1" applyBorder="1" applyAlignment="1">
      <alignment horizontal="center" vertical="center" wrapText="1"/>
    </xf>
    <xf numFmtId="0" fontId="25" fillId="15" borderId="21" xfId="0" applyFont="1" applyFill="1" applyBorder="1" applyAlignment="1">
      <alignment horizontal="center" vertical="center" wrapText="1"/>
    </xf>
    <xf numFmtId="0" fontId="25" fillId="15" borderId="3" xfId="0" applyFont="1" applyFill="1" applyBorder="1" applyAlignment="1">
      <alignment horizontal="center" vertical="center" wrapText="1"/>
    </xf>
    <xf numFmtId="43" fontId="0" fillId="7" borderId="4" xfId="5" applyFont="1" applyFill="1" applyBorder="1" applyAlignment="1">
      <alignment horizontal="center" vertical="center" wrapText="1"/>
    </xf>
    <xf numFmtId="43" fontId="0" fillId="7" borderId="3" xfId="5" applyFont="1" applyFill="1" applyBorder="1" applyAlignment="1">
      <alignment horizontal="center" vertical="center" wrapText="1"/>
    </xf>
    <xf numFmtId="43" fontId="29" fillId="7" borderId="4" xfId="5" applyFont="1" applyFill="1" applyBorder="1" applyAlignment="1">
      <alignment horizontal="center" vertical="center" wrapText="1"/>
    </xf>
    <xf numFmtId="43" fontId="29" fillId="7" borderId="3" xfId="5" applyFont="1" applyFill="1" applyBorder="1" applyAlignment="1">
      <alignment horizontal="center" vertical="center" wrapText="1"/>
    </xf>
    <xf numFmtId="44" fontId="29" fillId="7" borderId="21" xfId="6" applyNumberFormat="1" applyFont="1" applyFill="1" applyBorder="1" applyAlignment="1">
      <alignment horizontal="center" vertical="center" wrapText="1"/>
    </xf>
    <xf numFmtId="44" fontId="29" fillId="7" borderId="4" xfId="6" applyNumberFormat="1" applyFont="1" applyFill="1" applyBorder="1" applyAlignment="1">
      <alignment horizontal="center" vertical="center" wrapText="1"/>
    </xf>
    <xf numFmtId="44" fontId="29" fillId="7" borderId="3" xfId="6" applyNumberFormat="1" applyFont="1" applyFill="1" applyBorder="1" applyAlignment="1">
      <alignment horizontal="center" vertical="center" wrapText="1"/>
    </xf>
    <xf numFmtId="10" fontId="23" fillId="0" borderId="21" xfId="6" applyNumberFormat="1" applyFont="1" applyFill="1" applyBorder="1" applyAlignment="1">
      <alignment horizontal="center" vertical="center" wrapText="1"/>
    </xf>
    <xf numFmtId="10" fontId="23" fillId="0" borderId="4" xfId="6" applyNumberFormat="1" applyFont="1" applyFill="1" applyBorder="1" applyAlignment="1">
      <alignment horizontal="center" vertical="center" wrapText="1"/>
    </xf>
    <xf numFmtId="10" fontId="23" fillId="0" borderId="3" xfId="6"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5" fillId="23" borderId="21" xfId="0" applyFont="1" applyFill="1" applyBorder="1" applyAlignment="1">
      <alignment horizontal="center" vertical="center" wrapText="1"/>
    </xf>
    <xf numFmtId="0" fontId="25" fillId="23" borderId="3" xfId="0" applyFont="1" applyFill="1" applyBorder="1" applyAlignment="1">
      <alignment horizontal="center" vertical="center" wrapText="1"/>
    </xf>
    <xf numFmtId="0" fontId="1" fillId="23" borderId="21" xfId="0" applyFont="1" applyFill="1" applyBorder="1" applyAlignment="1">
      <alignment horizontal="center" vertical="center" wrapText="1"/>
    </xf>
    <xf numFmtId="0" fontId="1" fillId="23" borderId="3" xfId="0" applyFont="1" applyFill="1" applyBorder="1" applyAlignment="1">
      <alignment horizontal="center" vertical="center" wrapText="1"/>
    </xf>
    <xf numFmtId="0" fontId="58" fillId="7" borderId="21" xfId="0" applyFont="1" applyFill="1" applyBorder="1" applyAlignment="1">
      <alignment horizontal="left" vertical="center" wrapText="1"/>
    </xf>
    <xf numFmtId="0" fontId="58" fillId="7" borderId="4" xfId="0" applyFont="1" applyFill="1" applyBorder="1" applyAlignment="1">
      <alignment horizontal="left" vertical="center" wrapText="1"/>
    </xf>
    <xf numFmtId="0" fontId="58" fillId="7" borderId="3" xfId="0" applyFont="1" applyFill="1" applyBorder="1" applyAlignment="1">
      <alignment horizontal="left" vertical="center" wrapText="1"/>
    </xf>
    <xf numFmtId="0" fontId="59" fillId="7" borderId="21" xfId="0" applyFont="1" applyFill="1" applyBorder="1" applyAlignment="1">
      <alignment horizontal="left" vertical="top" wrapText="1"/>
    </xf>
    <xf numFmtId="0" fontId="62" fillId="7" borderId="4" xfId="0" applyFont="1" applyFill="1" applyBorder="1" applyAlignment="1">
      <alignment horizontal="left" vertical="top" wrapText="1"/>
    </xf>
    <xf numFmtId="0" fontId="62" fillId="7" borderId="3" xfId="0" applyFont="1" applyFill="1" applyBorder="1" applyAlignment="1">
      <alignment horizontal="left" vertical="top" wrapText="1"/>
    </xf>
    <xf numFmtId="0" fontId="42" fillId="7" borderId="21" xfId="0" applyFont="1" applyFill="1" applyBorder="1" applyAlignment="1">
      <alignment horizontal="left" vertical="center" wrapText="1"/>
    </xf>
    <xf numFmtId="0" fontId="42" fillId="7" borderId="3" xfId="0" applyFont="1" applyFill="1" applyBorder="1" applyAlignment="1">
      <alignment horizontal="lef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1" fontId="29" fillId="0" borderId="1" xfId="5" applyNumberFormat="1" applyFont="1" applyFill="1" applyBorder="1" applyAlignment="1">
      <alignment horizontal="center" vertical="center" wrapText="1"/>
    </xf>
    <xf numFmtId="167" fontId="23" fillId="0" borderId="1" xfId="5" applyNumberFormat="1" applyFont="1" applyFill="1" applyBorder="1" applyAlignment="1">
      <alignment horizontal="center" vertical="center" wrapText="1"/>
    </xf>
    <xf numFmtId="9" fontId="23" fillId="0" borderId="1" xfId="6" applyFont="1" applyFill="1" applyBorder="1" applyAlignment="1">
      <alignment horizontal="center" vertical="center" wrapText="1"/>
    </xf>
    <xf numFmtId="0" fontId="1" fillId="15" borderId="21" xfId="0" applyFont="1" applyFill="1" applyBorder="1" applyAlignment="1">
      <alignment horizontal="center" vertical="center" wrapText="1"/>
    </xf>
    <xf numFmtId="0" fontId="1" fillId="15" borderId="3" xfId="0" applyFont="1" applyFill="1" applyBorder="1" applyAlignment="1">
      <alignment horizontal="center" vertical="center" wrapText="1"/>
    </xf>
    <xf numFmtId="167" fontId="34" fillId="23" borderId="21" xfId="5" applyNumberFormat="1" applyFont="1" applyFill="1" applyBorder="1" applyAlignment="1">
      <alignment horizontal="center" vertical="center" wrapText="1"/>
    </xf>
    <xf numFmtId="0" fontId="0" fillId="23" borderId="3" xfId="0" applyFill="1" applyBorder="1" applyAlignment="1">
      <alignment horizontal="center" vertical="center" wrapText="1"/>
    </xf>
    <xf numFmtId="167" fontId="34" fillId="23" borderId="3" xfId="5" applyNumberFormat="1" applyFont="1" applyFill="1" applyBorder="1" applyAlignment="1">
      <alignment horizontal="center" vertical="center" wrapText="1"/>
    </xf>
    <xf numFmtId="43" fontId="29" fillId="0" borderId="21" xfId="5" applyFont="1" applyBorder="1" applyAlignment="1">
      <alignment horizontal="center" vertical="center" wrapText="1"/>
    </xf>
    <xf numFmtId="43" fontId="29" fillId="0" borderId="4" xfId="5" applyFont="1" applyBorder="1" applyAlignment="1">
      <alignment horizontal="center" vertical="center" wrapText="1"/>
    </xf>
    <xf numFmtId="43" fontId="29" fillId="0" borderId="3" xfId="5" applyFont="1" applyBorder="1" applyAlignment="1">
      <alignment horizontal="center" vertical="center" wrapText="1"/>
    </xf>
    <xf numFmtId="43" fontId="23" fillId="7" borderId="4" xfId="5" applyFont="1" applyFill="1" applyBorder="1" applyAlignment="1">
      <alignment horizontal="center" vertical="center" wrapText="1"/>
    </xf>
    <xf numFmtId="43" fontId="23" fillId="7" borderId="3" xfId="5" applyFont="1" applyFill="1" applyBorder="1" applyAlignment="1">
      <alignment horizontal="center" vertical="center" wrapText="1"/>
    </xf>
    <xf numFmtId="10" fontId="23" fillId="0" borderId="21" xfId="6" applyNumberFormat="1" applyFont="1" applyBorder="1" applyAlignment="1">
      <alignment horizontal="center" vertical="center" wrapText="1"/>
    </xf>
    <xf numFmtId="10" fontId="23" fillId="0" borderId="4" xfId="6" applyNumberFormat="1" applyFont="1" applyBorder="1" applyAlignment="1">
      <alignment horizontal="center" vertical="center" wrapText="1"/>
    </xf>
    <xf numFmtId="10" fontId="23" fillId="0" borderId="3" xfId="6" applyNumberFormat="1" applyFont="1" applyBorder="1" applyAlignment="1">
      <alignment horizontal="center" vertical="center" wrapText="1"/>
    </xf>
    <xf numFmtId="167" fontId="23" fillId="0" borderId="21" xfId="5" applyNumberFormat="1" applyFont="1" applyFill="1" applyBorder="1" applyAlignment="1">
      <alignment horizontal="center" vertical="center" wrapText="1"/>
    </xf>
    <xf numFmtId="167" fontId="23" fillId="0" borderId="4" xfId="5" applyNumberFormat="1" applyFont="1" applyFill="1" applyBorder="1" applyAlignment="1">
      <alignment horizontal="center" vertical="center" wrapText="1"/>
    </xf>
    <xf numFmtId="167" fontId="23" fillId="0" borderId="3" xfId="5" applyNumberFormat="1" applyFont="1" applyFill="1" applyBorder="1" applyAlignment="1">
      <alignment horizontal="center" vertical="center" wrapText="1"/>
    </xf>
    <xf numFmtId="0" fontId="37" fillId="6" borderId="1" xfId="0" applyFont="1" applyFill="1" applyBorder="1" applyAlignment="1">
      <alignment horizontal="left" wrapText="1"/>
    </xf>
    <xf numFmtId="44" fontId="23" fillId="0" borderId="21" xfId="8" applyFont="1" applyFill="1" applyBorder="1" applyAlignment="1">
      <alignment horizontal="center" vertical="center" wrapText="1"/>
    </xf>
    <xf numFmtId="44" fontId="23" fillId="0" borderId="4" xfId="8" applyFont="1" applyFill="1" applyBorder="1" applyAlignment="1">
      <alignment horizontal="center" vertical="center" wrapText="1"/>
    </xf>
    <xf numFmtId="44" fontId="23" fillId="0" borderId="3" xfId="8" applyFont="1" applyFill="1" applyBorder="1" applyAlignment="1">
      <alignment horizontal="center" vertical="center" wrapText="1"/>
    </xf>
    <xf numFmtId="9" fontId="23" fillId="0" borderId="21" xfId="6" applyFont="1" applyFill="1" applyBorder="1" applyAlignment="1">
      <alignment horizontal="center" vertical="center" wrapText="1"/>
    </xf>
    <xf numFmtId="9" fontId="23" fillId="0" borderId="4" xfId="6" applyFont="1" applyFill="1" applyBorder="1" applyAlignment="1">
      <alignment horizontal="center" vertical="center" wrapText="1"/>
    </xf>
    <xf numFmtId="9" fontId="23" fillId="0" borderId="3" xfId="6" applyFont="1" applyFill="1" applyBorder="1" applyAlignment="1">
      <alignment horizontal="center" vertical="center" wrapText="1"/>
    </xf>
    <xf numFmtId="43" fontId="23" fillId="0" borderId="1" xfId="5" applyFont="1" applyFill="1" applyBorder="1" applyAlignment="1">
      <alignment horizontal="center" vertical="center" wrapText="1"/>
    </xf>
    <xf numFmtId="10" fontId="23" fillId="0" borderId="1" xfId="6" applyNumberFormat="1" applyFont="1" applyFill="1" applyBorder="1" applyAlignment="1">
      <alignment horizontal="center" vertical="center" wrapText="1"/>
    </xf>
    <xf numFmtId="44" fontId="23" fillId="7" borderId="21" xfId="6" applyNumberFormat="1" applyFont="1" applyFill="1" applyBorder="1" applyAlignment="1">
      <alignment horizontal="center" vertical="center" wrapText="1"/>
    </xf>
    <xf numFmtId="44" fontId="23" fillId="7" borderId="4" xfId="6" applyNumberFormat="1" applyFont="1" applyFill="1" applyBorder="1" applyAlignment="1">
      <alignment horizontal="center" vertical="center" wrapText="1"/>
    </xf>
    <xf numFmtId="44" fontId="23" fillId="7" borderId="3" xfId="6" applyNumberFormat="1" applyFont="1" applyFill="1" applyBorder="1" applyAlignment="1">
      <alignment horizontal="center" vertical="center" wrapText="1"/>
    </xf>
    <xf numFmtId="167" fontId="23" fillId="0" borderId="21" xfId="5" applyNumberFormat="1" applyFont="1" applyBorder="1" applyAlignment="1">
      <alignment horizontal="center" vertical="center" wrapText="1"/>
    </xf>
    <xf numFmtId="167" fontId="23" fillId="0" borderId="4" xfId="5" applyNumberFormat="1" applyFont="1" applyBorder="1" applyAlignment="1">
      <alignment horizontal="center" vertical="center" wrapText="1"/>
    </xf>
    <xf numFmtId="167" fontId="23" fillId="0" borderId="3" xfId="5" applyNumberFormat="1" applyFont="1" applyBorder="1" applyAlignment="1">
      <alignment horizontal="center" vertical="center" wrapText="1"/>
    </xf>
    <xf numFmtId="0" fontId="23" fillId="0" borderId="21" xfId="0" applyFont="1" applyBorder="1" applyAlignment="1">
      <alignment vertical="center" wrapText="1"/>
    </xf>
    <xf numFmtId="43" fontId="23" fillId="0" borderId="21" xfId="5" applyFont="1" applyFill="1" applyBorder="1" applyAlignment="1">
      <alignment horizontal="center" vertical="center" wrapText="1"/>
    </xf>
    <xf numFmtId="43" fontId="23" fillId="0" borderId="4" xfId="5" applyFont="1" applyFill="1" applyBorder="1" applyAlignment="1">
      <alignment horizontal="center" vertical="center" wrapText="1"/>
    </xf>
    <xf numFmtId="43" fontId="23" fillId="0" borderId="3" xfId="5" applyFont="1" applyFill="1" applyBorder="1" applyAlignment="1">
      <alignment horizontal="center" vertical="center" wrapText="1"/>
    </xf>
    <xf numFmtId="43" fontId="23" fillId="0" borderId="21" xfId="5" applyFont="1" applyBorder="1" applyAlignment="1">
      <alignment horizontal="center" vertical="center" wrapText="1"/>
    </xf>
    <xf numFmtId="43" fontId="23" fillId="0" borderId="4" xfId="5" applyFont="1" applyBorder="1" applyAlignment="1">
      <alignment horizontal="center" vertical="center" wrapText="1"/>
    </xf>
    <xf numFmtId="43" fontId="23" fillId="0" borderId="3" xfId="5" applyFont="1" applyBorder="1" applyAlignment="1">
      <alignment horizontal="center" vertical="center" wrapText="1"/>
    </xf>
    <xf numFmtId="43" fontId="23" fillId="0" borderId="21" xfId="5" applyFont="1" applyBorder="1" applyAlignment="1">
      <alignment horizontal="right" vertical="center" wrapText="1"/>
    </xf>
    <xf numFmtId="43" fontId="23" fillId="0" borderId="4" xfId="5" applyFont="1" applyBorder="1" applyAlignment="1">
      <alignment horizontal="right" vertical="center" wrapText="1"/>
    </xf>
    <xf numFmtId="43" fontId="23" fillId="0" borderId="3" xfId="5" applyFont="1" applyBorder="1" applyAlignment="1">
      <alignment horizontal="right" vertical="center" wrapText="1"/>
    </xf>
    <xf numFmtId="43" fontId="23" fillId="7" borderId="4" xfId="5" applyFont="1" applyFill="1" applyBorder="1" applyAlignment="1">
      <alignment horizontal="right" vertical="center" wrapText="1"/>
    </xf>
    <xf numFmtId="43" fontId="23" fillId="7" borderId="3" xfId="5" applyFont="1" applyFill="1" applyBorder="1" applyAlignment="1">
      <alignment horizontal="right" vertical="center" wrapText="1"/>
    </xf>
    <xf numFmtId="43" fontId="29" fillId="0" borderId="21" xfId="5" applyFont="1" applyFill="1" applyBorder="1" applyAlignment="1">
      <alignment horizontal="center" vertical="center" wrapText="1"/>
    </xf>
    <xf numFmtId="43" fontId="29" fillId="0" borderId="4" xfId="5" applyFont="1" applyFill="1" applyBorder="1" applyAlignment="1">
      <alignment horizontal="center" vertical="center" wrapText="1"/>
    </xf>
    <xf numFmtId="43" fontId="29" fillId="0" borderId="3" xfId="5" applyFont="1" applyFill="1" applyBorder="1" applyAlignment="1">
      <alignment horizontal="center" vertical="center" wrapText="1"/>
    </xf>
    <xf numFmtId="10" fontId="29" fillId="0" borderId="21" xfId="6" applyNumberFormat="1" applyFont="1" applyFill="1" applyBorder="1" applyAlignment="1">
      <alignment horizontal="center" vertical="center" wrapText="1"/>
    </xf>
    <xf numFmtId="10" fontId="29" fillId="0" borderId="4" xfId="6" applyNumberFormat="1" applyFont="1" applyFill="1" applyBorder="1" applyAlignment="1">
      <alignment horizontal="center" vertical="center" wrapText="1"/>
    </xf>
    <xf numFmtId="10" fontId="29" fillId="0" borderId="3" xfId="6" applyNumberFormat="1" applyFont="1" applyFill="1" applyBorder="1" applyAlignment="1">
      <alignment horizontal="center" vertical="center" wrapText="1"/>
    </xf>
    <xf numFmtId="167" fontId="23" fillId="7" borderId="21" xfId="5" applyNumberFormat="1" applyFont="1" applyFill="1" applyBorder="1" applyAlignment="1">
      <alignment horizontal="center" vertical="center" wrapText="1"/>
    </xf>
    <xf numFmtId="167" fontId="23" fillId="7" borderId="4" xfId="5" applyNumberFormat="1" applyFont="1" applyFill="1" applyBorder="1" applyAlignment="1">
      <alignment horizontal="center" vertical="center" wrapText="1"/>
    </xf>
    <xf numFmtId="167" fontId="23" fillId="7" borderId="3" xfId="5" applyNumberFormat="1" applyFont="1" applyFill="1" applyBorder="1" applyAlignment="1">
      <alignment horizontal="center" vertical="center" wrapText="1"/>
    </xf>
    <xf numFmtId="1" fontId="29" fillId="7" borderId="21" xfId="0" applyNumberFormat="1" applyFont="1" applyFill="1" applyBorder="1" applyAlignment="1">
      <alignment horizontal="center" vertical="center" wrapText="1"/>
    </xf>
    <xf numFmtId="1" fontId="29" fillId="7" borderId="3" xfId="0" applyNumberFormat="1" applyFont="1" applyFill="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1" xfId="0" applyFont="1" applyBorder="1" applyAlignment="1">
      <alignment horizontal="center" wrapText="1"/>
    </xf>
    <xf numFmtId="0" fontId="23" fillId="0" borderId="3" xfId="0" applyFont="1" applyBorder="1" applyAlignment="1">
      <alignment horizontal="center" wrapText="1"/>
    </xf>
    <xf numFmtId="0" fontId="23" fillId="0" borderId="21" xfId="0" applyFont="1" applyBorder="1" applyAlignment="1">
      <alignment horizontal="center" vertical="center" wrapText="1"/>
    </xf>
    <xf numFmtId="0" fontId="23" fillId="0" borderId="21" xfId="0" applyFont="1" applyBorder="1" applyAlignment="1">
      <alignment horizontal="left" wrapText="1"/>
    </xf>
    <xf numFmtId="0" fontId="23" fillId="0" borderId="4" xfId="0" applyFont="1" applyBorder="1" applyAlignment="1">
      <alignment horizontal="left" wrapText="1"/>
    </xf>
    <xf numFmtId="0" fontId="23" fillId="0" borderId="3" xfId="0" applyFont="1" applyBorder="1" applyAlignment="1">
      <alignment horizontal="left" wrapText="1"/>
    </xf>
    <xf numFmtId="0" fontId="23" fillId="0" borderId="21" xfId="0" applyFont="1" applyBorder="1" applyAlignment="1">
      <alignment horizontal="left" vertical="top" wrapText="1"/>
    </xf>
    <xf numFmtId="0" fontId="23" fillId="0" borderId="4" xfId="0" applyFont="1" applyBorder="1" applyAlignment="1">
      <alignment horizontal="left" vertical="top" wrapText="1"/>
    </xf>
    <xf numFmtId="0" fontId="23" fillId="0" borderId="3" xfId="0" applyFont="1" applyBorder="1" applyAlignment="1">
      <alignment horizontal="left" vertical="top" wrapText="1"/>
    </xf>
    <xf numFmtId="0" fontId="23" fillId="7" borderId="21" xfId="0" applyFont="1" applyFill="1" applyBorder="1" applyAlignment="1">
      <alignment horizontal="center" vertical="top" wrapText="1"/>
    </xf>
    <xf numFmtId="0" fontId="23" fillId="7" borderId="4" xfId="0" applyFont="1" applyFill="1" applyBorder="1" applyAlignment="1">
      <alignment horizontal="center" vertical="top" wrapText="1"/>
    </xf>
    <xf numFmtId="0" fontId="23" fillId="7" borderId="3" xfId="0" applyFont="1" applyFill="1" applyBorder="1" applyAlignment="1">
      <alignment horizontal="center" vertical="top" wrapText="1"/>
    </xf>
    <xf numFmtId="0" fontId="42" fillId="7" borderId="21"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39" fillId="7" borderId="21" xfId="0" applyFont="1" applyFill="1" applyBorder="1" applyAlignment="1">
      <alignment horizontal="center" vertical="center" wrapText="1"/>
    </xf>
    <xf numFmtId="0" fontId="39" fillId="7" borderId="4" xfId="0" applyFont="1" applyFill="1" applyBorder="1" applyAlignment="1">
      <alignment horizontal="center" vertical="center" wrapText="1"/>
    </xf>
    <xf numFmtId="0" fontId="39" fillId="7" borderId="3" xfId="0" applyFont="1" applyFill="1" applyBorder="1" applyAlignment="1">
      <alignment horizontal="center" vertical="center" wrapText="1"/>
    </xf>
    <xf numFmtId="0" fontId="0" fillId="0" borderId="21"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17" fontId="23" fillId="0" borderId="21" xfId="0" applyNumberFormat="1" applyFont="1" applyBorder="1" applyAlignment="1">
      <alignment horizontal="right"/>
    </xf>
    <xf numFmtId="17" fontId="23" fillId="0" borderId="3" xfId="0" applyNumberFormat="1" applyFont="1" applyBorder="1" applyAlignment="1">
      <alignment horizontal="right"/>
    </xf>
    <xf numFmtId="1" fontId="23" fillId="0" borderId="21" xfId="6" applyNumberFormat="1" applyFont="1" applyBorder="1" applyAlignment="1">
      <alignment horizontal="right" vertical="center" wrapText="1"/>
    </xf>
    <xf numFmtId="1" fontId="23" fillId="0" borderId="4" xfId="6" applyNumberFormat="1" applyFont="1" applyBorder="1" applyAlignment="1">
      <alignment horizontal="right" vertical="center" wrapText="1"/>
    </xf>
    <xf numFmtId="1" fontId="23" fillId="0" borderId="3" xfId="6" applyNumberFormat="1" applyFont="1" applyBorder="1" applyAlignment="1">
      <alignment horizontal="right" vertical="center" wrapText="1"/>
    </xf>
    <xf numFmtId="167" fontId="34" fillId="21" borderId="21" xfId="5" applyNumberFormat="1" applyFont="1" applyFill="1" applyBorder="1" applyAlignment="1">
      <alignment horizontal="center" vertical="center" wrapText="1"/>
    </xf>
    <xf numFmtId="0" fontId="0" fillId="21" borderId="3" xfId="0" applyFill="1" applyBorder="1" applyAlignment="1">
      <alignment horizontal="center" vertical="center" wrapText="1"/>
    </xf>
    <xf numFmtId="43" fontId="0" fillId="0" borderId="4" xfId="0" applyNumberFormat="1" applyBorder="1" applyAlignment="1">
      <alignment horizontal="center" vertical="center"/>
    </xf>
    <xf numFmtId="43" fontId="0" fillId="0" borderId="3" xfId="0" applyNumberFormat="1" applyBorder="1" applyAlignment="1">
      <alignment horizontal="center" vertical="center"/>
    </xf>
    <xf numFmtId="0" fontId="0" fillId="0" borderId="4" xfId="0"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wrapText="1"/>
    </xf>
    <xf numFmtId="0" fontId="0" fillId="0" borderId="3" xfId="0" applyBorder="1" applyAlignment="1">
      <alignment horizontal="right" vertical="center" wrapText="1"/>
    </xf>
    <xf numFmtId="1" fontId="23" fillId="0" borderId="21" xfId="0" applyNumberFormat="1" applyFont="1" applyBorder="1" applyAlignment="1">
      <alignment horizontal="center" vertical="center" wrapText="1"/>
    </xf>
    <xf numFmtId="1" fontId="23" fillId="0" borderId="3" xfId="0" applyNumberFormat="1" applyFont="1" applyBorder="1" applyAlignment="1">
      <alignment horizontal="center" vertical="center" wrapText="1"/>
    </xf>
    <xf numFmtId="0" fontId="23" fillId="0" borderId="4" xfId="0" applyFont="1" applyBorder="1" applyAlignment="1">
      <alignment horizontal="center" wrapText="1"/>
    </xf>
    <xf numFmtId="167" fontId="34" fillId="22" borderId="21" xfId="5" applyNumberFormat="1" applyFont="1" applyFill="1" applyBorder="1" applyAlignment="1">
      <alignment horizontal="center" vertical="center" wrapText="1"/>
    </xf>
    <xf numFmtId="0" fontId="0" fillId="22" borderId="3" xfId="0" applyFill="1" applyBorder="1" applyAlignment="1">
      <alignment horizontal="center" vertical="center" wrapText="1"/>
    </xf>
    <xf numFmtId="167" fontId="34" fillId="12" borderId="21" xfId="5" applyNumberFormat="1" applyFont="1" applyFill="1" applyBorder="1" applyAlignment="1">
      <alignment horizontal="center" vertical="center" wrapText="1"/>
    </xf>
    <xf numFmtId="0" fontId="0" fillId="12" borderId="3" xfId="0" applyFill="1" applyBorder="1" applyAlignment="1">
      <alignment horizontal="center" vertical="center" wrapText="1"/>
    </xf>
    <xf numFmtId="167" fontId="34" fillId="12" borderId="3" xfId="5" applyNumberFormat="1" applyFont="1" applyFill="1" applyBorder="1" applyAlignment="1">
      <alignment horizontal="center" vertical="center" wrapText="1"/>
    </xf>
    <xf numFmtId="167" fontId="34" fillId="15" borderId="3" xfId="5" applyNumberFormat="1" applyFont="1" applyFill="1" applyBorder="1" applyAlignment="1">
      <alignment horizontal="center" vertical="center" wrapText="1"/>
    </xf>
    <xf numFmtId="0" fontId="38" fillId="7" borderId="5" xfId="0" applyFont="1" applyFill="1" applyBorder="1" applyAlignment="1">
      <alignment horizontal="center" vertical="center" wrapText="1"/>
    </xf>
    <xf numFmtId="0" fontId="38" fillId="7" borderId="0" xfId="0" applyFont="1" applyFill="1" applyAlignment="1">
      <alignment horizontal="center" vertical="center" wrapText="1"/>
    </xf>
    <xf numFmtId="0" fontId="38" fillId="7" borderId="30" xfId="0" applyFont="1" applyFill="1" applyBorder="1" applyAlignment="1">
      <alignment horizontal="center" vertical="center" wrapText="1"/>
    </xf>
    <xf numFmtId="0" fontId="37" fillId="7" borderId="5" xfId="0" applyFont="1" applyFill="1" applyBorder="1" applyAlignment="1">
      <alignment horizontal="center" vertical="center" wrapText="1"/>
    </xf>
    <xf numFmtId="0" fontId="37" fillId="7" borderId="32" xfId="0" applyFont="1" applyFill="1" applyBorder="1" applyAlignment="1">
      <alignment horizontal="center" vertical="center" wrapText="1"/>
    </xf>
    <xf numFmtId="0" fontId="37" fillId="7" borderId="0" xfId="0" applyFont="1" applyFill="1" applyAlignment="1">
      <alignment horizontal="center" vertical="center" wrapText="1"/>
    </xf>
    <xf numFmtId="0" fontId="37" fillId="7" borderId="25" xfId="0" applyFont="1" applyFill="1" applyBorder="1" applyAlignment="1">
      <alignment horizontal="center" vertical="center" wrapText="1"/>
    </xf>
    <xf numFmtId="0" fontId="37" fillId="7" borderId="30" xfId="0" applyFont="1" applyFill="1" applyBorder="1" applyAlignment="1">
      <alignment horizontal="center" vertical="center" wrapText="1"/>
    </xf>
    <xf numFmtId="0" fontId="37" fillId="7" borderId="33" xfId="0" applyFont="1" applyFill="1" applyBorder="1" applyAlignment="1">
      <alignment horizontal="center" vertical="center" wrapText="1"/>
    </xf>
    <xf numFmtId="44" fontId="35" fillId="7" borderId="34" xfId="6" applyNumberFormat="1" applyFont="1" applyFill="1" applyBorder="1" applyAlignment="1">
      <alignment horizontal="center" vertical="center" wrapText="1"/>
    </xf>
    <xf numFmtId="44" fontId="35" fillId="7" borderId="5" xfId="6" applyNumberFormat="1" applyFont="1" applyFill="1" applyBorder="1" applyAlignment="1">
      <alignment horizontal="center" vertical="center" wrapText="1"/>
    </xf>
    <xf numFmtId="44" fontId="35" fillId="7" borderId="6" xfId="6" applyNumberFormat="1" applyFont="1" applyFill="1" applyBorder="1" applyAlignment="1">
      <alignment horizontal="center" vertical="center" wrapText="1"/>
    </xf>
    <xf numFmtId="44" fontId="35" fillId="7" borderId="24" xfId="6" applyNumberFormat="1" applyFont="1" applyFill="1" applyBorder="1" applyAlignment="1">
      <alignment horizontal="center" vertical="center" wrapText="1"/>
    </xf>
    <xf numFmtId="44" fontId="35" fillId="7" borderId="0" xfId="6" applyNumberFormat="1" applyFont="1" applyFill="1" applyBorder="1" applyAlignment="1">
      <alignment horizontal="center" vertical="center" wrapText="1"/>
    </xf>
    <xf numFmtId="44" fontId="35" fillId="7" borderId="28" xfId="6" applyNumberFormat="1" applyFont="1" applyFill="1" applyBorder="1" applyAlignment="1">
      <alignment horizontal="center" vertical="center" wrapText="1"/>
    </xf>
    <xf numFmtId="44" fontId="35" fillId="7" borderId="35" xfId="6" applyNumberFormat="1" applyFont="1" applyFill="1" applyBorder="1" applyAlignment="1">
      <alignment horizontal="center" vertical="center" wrapText="1"/>
    </xf>
    <xf numFmtId="44" fontId="35" fillId="7" borderId="30" xfId="6" applyNumberFormat="1" applyFont="1" applyFill="1" applyBorder="1" applyAlignment="1">
      <alignment horizontal="center" vertical="center" wrapText="1"/>
    </xf>
    <xf numFmtId="44" fontId="35" fillId="7" borderId="31" xfId="6" applyNumberFormat="1" applyFont="1" applyFill="1" applyBorder="1" applyAlignment="1">
      <alignment horizontal="center" vertical="center" wrapText="1"/>
    </xf>
    <xf numFmtId="0" fontId="37" fillId="7" borderId="5" xfId="0" applyFont="1" applyFill="1" applyBorder="1" applyAlignment="1">
      <alignment horizontal="center"/>
    </xf>
    <xf numFmtId="0" fontId="37" fillId="7" borderId="6" xfId="0" applyFont="1" applyFill="1" applyBorder="1" applyAlignment="1">
      <alignment horizontal="center"/>
    </xf>
    <xf numFmtId="0" fontId="37" fillId="7" borderId="0" xfId="0" applyFont="1" applyFill="1" applyAlignment="1">
      <alignment horizontal="center"/>
    </xf>
    <xf numFmtId="0" fontId="37" fillId="7" borderId="28" xfId="0" applyFont="1" applyFill="1" applyBorder="1" applyAlignment="1">
      <alignment horizontal="center"/>
    </xf>
    <xf numFmtId="0" fontId="37" fillId="7" borderId="30" xfId="0" applyFont="1" applyFill="1" applyBorder="1" applyAlignment="1">
      <alignment horizontal="center"/>
    </xf>
    <xf numFmtId="0" fontId="37" fillId="7" borderId="31" xfId="0" applyFont="1" applyFill="1" applyBorder="1" applyAlignment="1">
      <alignment horizontal="center"/>
    </xf>
    <xf numFmtId="43" fontId="0" fillId="0" borderId="4" xfId="5" applyFont="1" applyBorder="1" applyAlignment="1">
      <alignment horizontal="center" vertical="center" wrapText="1"/>
    </xf>
    <xf numFmtId="43" fontId="0" fillId="0" borderId="3" xfId="5" applyFont="1" applyBorder="1" applyAlignment="1">
      <alignment horizontal="center" vertical="center" wrapText="1"/>
    </xf>
    <xf numFmtId="10" fontId="23" fillId="0" borderId="1" xfId="6" applyNumberFormat="1" applyFont="1" applyBorder="1" applyAlignment="1">
      <alignment horizontal="center" vertical="center" wrapText="1"/>
    </xf>
    <xf numFmtId="44" fontId="29" fillId="0" borderId="21" xfId="8" applyFont="1" applyBorder="1" applyAlignment="1">
      <alignment horizontal="center" vertical="center" wrapText="1"/>
    </xf>
    <xf numFmtId="44" fontId="29" fillId="0" borderId="4" xfId="8" applyFont="1" applyBorder="1" applyAlignment="1">
      <alignment horizontal="center" vertical="center" wrapText="1"/>
    </xf>
    <xf numFmtId="44" fontId="29" fillId="0" borderId="3" xfId="8" applyFont="1" applyBorder="1" applyAlignment="1">
      <alignment horizontal="center" vertical="center" wrapText="1"/>
    </xf>
    <xf numFmtId="1" fontId="29" fillId="0" borderId="1" xfId="0" applyNumberFormat="1" applyFont="1" applyBorder="1" applyAlignment="1">
      <alignment horizontal="center" vertical="center" wrapText="1"/>
    </xf>
    <xf numFmtId="1" fontId="23" fillId="7"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3" fontId="23" fillId="0" borderId="1" xfId="0" applyNumberFormat="1" applyFont="1" applyBorder="1" applyAlignment="1">
      <alignment horizontal="center" vertical="center" wrapText="1"/>
    </xf>
    <xf numFmtId="9" fontId="23" fillId="0" borderId="1" xfId="6" applyFont="1" applyBorder="1" applyAlignment="1">
      <alignment horizontal="center" vertical="center"/>
    </xf>
    <xf numFmtId="43" fontId="23" fillId="0" borderId="1" xfId="5" applyFont="1" applyBorder="1" applyAlignment="1">
      <alignment horizontal="center" vertical="center" wrapText="1"/>
    </xf>
    <xf numFmtId="44" fontId="23" fillId="0" borderId="21" xfId="8" applyFont="1" applyBorder="1" applyAlignment="1">
      <alignment horizontal="center" vertical="center" wrapText="1"/>
    </xf>
    <xf numFmtId="44" fontId="23" fillId="0" borderId="4" xfId="8" applyFont="1" applyBorder="1" applyAlignment="1">
      <alignment horizontal="center" vertical="center" wrapText="1"/>
    </xf>
    <xf numFmtId="44" fontId="23" fillId="0" borderId="3" xfId="8" applyFont="1" applyBorder="1" applyAlignment="1">
      <alignment horizontal="center" vertical="center" wrapText="1"/>
    </xf>
    <xf numFmtId="9" fontId="29" fillId="0" borderId="21" xfId="6" applyFont="1" applyBorder="1" applyAlignment="1">
      <alignment horizontal="center" vertical="center" wrapText="1"/>
    </xf>
    <xf numFmtId="9" fontId="29" fillId="0" borderId="4" xfId="6" applyFont="1" applyBorder="1" applyAlignment="1">
      <alignment horizontal="center" vertical="center" wrapText="1"/>
    </xf>
    <xf numFmtId="9" fontId="29" fillId="0" borderId="3" xfId="6" applyFont="1" applyBorder="1" applyAlignment="1">
      <alignment horizontal="center" vertical="center" wrapText="1"/>
    </xf>
    <xf numFmtId="43" fontId="23" fillId="7" borderId="1" xfId="5"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3" xfId="0" applyFont="1" applyBorder="1" applyAlignment="1">
      <alignment horizontal="center" vertical="center" wrapText="1"/>
    </xf>
    <xf numFmtId="0" fontId="1" fillId="8" borderId="21"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10" borderId="2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6" borderId="21"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1" fillId="19" borderId="21" xfId="0" applyFont="1" applyFill="1" applyBorder="1" applyAlignment="1">
      <alignment horizontal="center" vertical="center" wrapText="1"/>
    </xf>
    <xf numFmtId="0" fontId="1" fillId="19" borderId="3" xfId="0" applyFont="1" applyFill="1" applyBorder="1" applyAlignment="1">
      <alignment horizontal="center" vertical="center" wrapText="1"/>
    </xf>
    <xf numFmtId="167" fontId="23" fillId="7" borderId="21" xfId="5" applyNumberFormat="1" applyFont="1" applyFill="1" applyBorder="1" applyAlignment="1">
      <alignment horizontal="right" vertical="center"/>
    </xf>
    <xf numFmtId="0" fontId="1" fillId="3" borderId="2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62" fillId="7" borderId="21" xfId="0" applyFont="1" applyFill="1" applyBorder="1" applyAlignment="1">
      <alignment horizontal="left" vertical="top" wrapText="1"/>
    </xf>
    <xf numFmtId="1" fontId="29" fillId="0" borderId="21" xfId="0" applyNumberFormat="1" applyFont="1" applyBorder="1" applyAlignment="1">
      <alignment horizontal="center" vertical="center" wrapText="1"/>
    </xf>
    <xf numFmtId="1" fontId="29" fillId="0" borderId="3" xfId="0" applyNumberFormat="1" applyFont="1" applyBorder="1" applyAlignment="1">
      <alignment horizontal="center" vertical="center" wrapText="1"/>
    </xf>
    <xf numFmtId="0" fontId="23" fillId="0" borderId="21" xfId="0" applyFont="1" applyBorder="1" applyAlignment="1">
      <alignment horizontal="center"/>
    </xf>
    <xf numFmtId="0" fontId="23" fillId="0" borderId="3" xfId="0" applyFont="1" applyBorder="1" applyAlignment="1">
      <alignment horizontal="center"/>
    </xf>
    <xf numFmtId="0" fontId="56" fillId="7" borderId="21" xfId="0" applyFont="1" applyFill="1" applyBorder="1" applyAlignment="1">
      <alignment horizontal="center" vertical="center" wrapText="1"/>
    </xf>
    <xf numFmtId="0" fontId="56" fillId="7" borderId="4" xfId="0" applyFont="1" applyFill="1" applyBorder="1" applyAlignment="1">
      <alignment horizontal="center" vertical="center" wrapText="1"/>
    </xf>
    <xf numFmtId="0" fontId="56" fillId="7" borderId="3" xfId="0" applyFont="1" applyFill="1" applyBorder="1" applyAlignment="1">
      <alignment horizontal="center" vertical="center" wrapText="1"/>
    </xf>
    <xf numFmtId="0" fontId="29" fillId="0" borderId="1" xfId="0" applyFont="1" applyBorder="1" applyAlignment="1">
      <alignment horizontal="center" vertical="center" wrapText="1"/>
    </xf>
    <xf numFmtId="0" fontId="59" fillId="7" borderId="4" xfId="0" applyFont="1" applyFill="1" applyBorder="1" applyAlignment="1">
      <alignment horizontal="left" vertical="top" wrapText="1"/>
    </xf>
    <xf numFmtId="0" fontId="59" fillId="7" borderId="3" xfId="0" applyFont="1" applyFill="1" applyBorder="1" applyAlignment="1">
      <alignment horizontal="left" vertical="top" wrapText="1"/>
    </xf>
    <xf numFmtId="167" fontId="23" fillId="0" borderId="21" xfId="5" applyNumberFormat="1" applyFont="1" applyBorder="1" applyAlignment="1">
      <alignment horizontal="right" vertical="center" wrapText="1"/>
    </xf>
    <xf numFmtId="167" fontId="23" fillId="0" borderId="4" xfId="5" applyNumberFormat="1" applyFont="1" applyBorder="1" applyAlignment="1">
      <alignment horizontal="right" vertical="center" wrapText="1"/>
    </xf>
    <xf numFmtId="167" fontId="23" fillId="0" borderId="3" xfId="5" applyNumberFormat="1" applyFont="1" applyBorder="1" applyAlignment="1">
      <alignment horizontal="right" vertical="center" wrapText="1"/>
    </xf>
    <xf numFmtId="10" fontId="23" fillId="7" borderId="1" xfId="6" applyNumberFormat="1" applyFont="1" applyFill="1" applyBorder="1" applyAlignment="1">
      <alignment horizontal="center" vertical="center" wrapText="1"/>
    </xf>
    <xf numFmtId="167" fontId="29" fillId="0" borderId="1" xfId="5" applyNumberFormat="1" applyFont="1" applyFill="1" applyBorder="1" applyAlignment="1">
      <alignment horizontal="center" vertical="center" wrapText="1"/>
    </xf>
    <xf numFmtId="167" fontId="26" fillId="0" borderId="1" xfId="5" applyNumberFormat="1" applyFont="1" applyBorder="1" applyAlignment="1">
      <alignment horizontal="right" vertical="center" wrapText="1"/>
    </xf>
    <xf numFmtId="167" fontId="26" fillId="0" borderId="1" xfId="5" applyNumberFormat="1" applyFont="1" applyFill="1" applyBorder="1" applyAlignment="1">
      <alignment horizontal="right" vertical="center" wrapText="1"/>
    </xf>
    <xf numFmtId="0" fontId="23" fillId="0" borderId="1" xfId="0" applyFont="1" applyBorder="1" applyAlignment="1">
      <alignment horizontal="center" vertical="center" wrapText="1"/>
    </xf>
    <xf numFmtId="1" fontId="26" fillId="0" borderId="1" xfId="5" applyNumberFormat="1" applyFont="1" applyFill="1" applyBorder="1" applyAlignment="1">
      <alignment horizontal="right" vertical="center" wrapText="1"/>
    </xf>
    <xf numFmtId="167" fontId="23" fillId="0" borderId="1" xfId="5" applyNumberFormat="1" applyFont="1" applyFill="1" applyBorder="1" applyAlignment="1">
      <alignment horizontal="right" vertical="center" wrapText="1"/>
    </xf>
    <xf numFmtId="1" fontId="26" fillId="0" borderId="1" xfId="6" applyNumberFormat="1" applyFont="1" applyBorder="1" applyAlignment="1">
      <alignment horizontal="right" vertical="center" wrapText="1"/>
    </xf>
    <xf numFmtId="167" fontId="23" fillId="0" borderId="1" xfId="5" applyNumberFormat="1" applyFont="1" applyBorder="1" applyAlignment="1">
      <alignment horizontal="right" vertical="center" wrapText="1"/>
    </xf>
    <xf numFmtId="1" fontId="23" fillId="0" borderId="1" xfId="5" applyNumberFormat="1" applyFont="1" applyFill="1" applyBorder="1" applyAlignment="1">
      <alignment horizontal="center" vertical="center" wrapText="1"/>
    </xf>
    <xf numFmtId="0" fontId="23" fillId="7" borderId="1" xfId="7" applyFont="1" applyFill="1" applyBorder="1" applyAlignment="1">
      <alignment horizontal="center" vertical="center" wrapText="1"/>
    </xf>
    <xf numFmtId="0" fontId="23" fillId="7" borderId="1" xfId="7" applyFont="1" applyFill="1" applyBorder="1" applyAlignment="1">
      <alignment horizontal="right" vertical="center" wrapText="1"/>
    </xf>
    <xf numFmtId="0" fontId="23" fillId="0" borderId="1" xfId="0" applyFont="1" applyBorder="1" applyAlignment="1">
      <alignment horizontal="left" vertical="center" wrapText="1"/>
    </xf>
    <xf numFmtId="0" fontId="23" fillId="7" borderId="1" xfId="7" applyFont="1" applyFill="1" applyBorder="1" applyAlignment="1">
      <alignment horizontal="left" vertical="center" wrapText="1"/>
    </xf>
    <xf numFmtId="3" fontId="23" fillId="7" borderId="1"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7" borderId="1" xfId="0" applyFont="1" applyFill="1" applyBorder="1" applyAlignment="1">
      <alignment horizontal="right" vertical="center" wrapText="1"/>
    </xf>
    <xf numFmtId="167" fontId="30" fillId="0" borderId="1" xfId="5" applyNumberFormat="1" applyFont="1" applyFill="1" applyBorder="1" applyAlignment="1">
      <alignment horizontal="right" vertical="center" wrapText="1"/>
    </xf>
    <xf numFmtId="0" fontId="26" fillId="0" borderId="1" xfId="0" applyFont="1" applyBorder="1" applyAlignment="1">
      <alignment horizontal="left" vertical="center" wrapText="1"/>
    </xf>
    <xf numFmtId="0" fontId="26" fillId="0" borderId="1" xfId="0" applyFont="1" applyBorder="1" applyAlignment="1">
      <alignment horizontal="right" vertical="center" wrapText="1"/>
    </xf>
    <xf numFmtId="0" fontId="23" fillId="0" borderId="1" xfId="0" applyFont="1" applyBorder="1" applyAlignment="1">
      <alignment horizontal="right" vertical="center" wrapText="1"/>
    </xf>
    <xf numFmtId="167" fontId="23" fillId="0" borderId="1" xfId="0" applyNumberFormat="1" applyFont="1" applyBorder="1" applyAlignment="1">
      <alignment horizontal="center" vertical="center" wrapText="1"/>
    </xf>
    <xf numFmtId="0" fontId="26" fillId="7" borderId="1" xfId="0" applyFont="1" applyFill="1" applyBorder="1" applyAlignment="1">
      <alignment horizontal="center" vertical="center" wrapText="1"/>
    </xf>
    <xf numFmtId="0" fontId="28" fillId="0" borderId="1" xfId="0" applyFont="1" applyBorder="1" applyAlignment="1">
      <alignment horizontal="center" vertical="center" wrapText="1"/>
    </xf>
    <xf numFmtId="167" fontId="23" fillId="0" borderId="1" xfId="5"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3" fillId="0" borderId="21"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3" fillId="0" borderId="3" xfId="0" applyFont="1" applyBorder="1" applyAlignment="1">
      <alignment horizontal="center" vertical="center" textRotation="90" wrapText="1"/>
    </xf>
    <xf numFmtId="0" fontId="38" fillId="8"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38" fillId="6" borderId="1" xfId="0" applyFont="1" applyFill="1" applyBorder="1" applyAlignment="1">
      <alignment horizontal="center" vertical="center" wrapText="1"/>
    </xf>
    <xf numFmtId="0" fontId="37" fillId="0" borderId="1" xfId="0" applyFont="1" applyBorder="1" applyAlignment="1">
      <alignment vertical="center" wrapText="1"/>
    </xf>
    <xf numFmtId="0" fontId="27" fillId="6" borderId="1" xfId="0" applyFont="1" applyFill="1" applyBorder="1" applyAlignment="1">
      <alignment horizontal="center" vertical="center" wrapText="1"/>
    </xf>
    <xf numFmtId="0" fontId="0" fillId="0" borderId="1" xfId="0" applyBorder="1" applyAlignment="1">
      <alignment vertical="center" wrapText="1"/>
    </xf>
    <xf numFmtId="9" fontId="38" fillId="6" borderId="1" xfId="0" applyNumberFormat="1" applyFont="1" applyFill="1" applyBorder="1" applyAlignment="1">
      <alignment horizontal="center" vertical="center" wrapText="1"/>
    </xf>
    <xf numFmtId="1" fontId="35" fillId="8"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8"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5" borderId="1" xfId="0" applyFont="1" applyFill="1" applyBorder="1" applyAlignment="1">
      <alignment horizontal="center" vertical="center" wrapText="1"/>
    </xf>
    <xf numFmtId="0" fontId="25" fillId="22" borderId="21" xfId="0" applyFont="1" applyFill="1" applyBorder="1" applyAlignment="1">
      <alignment horizontal="center" vertical="center" wrapText="1"/>
    </xf>
    <xf numFmtId="0" fontId="25" fillId="22" borderId="3"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3" xfId="0" applyFont="1" applyFill="1" applyBorder="1" applyAlignment="1">
      <alignment horizontal="center" vertical="center" wrapText="1"/>
    </xf>
    <xf numFmtId="167" fontId="34" fillId="11" borderId="21" xfId="5" applyNumberFormat="1" applyFont="1" applyFill="1" applyBorder="1" applyAlignment="1">
      <alignment horizontal="center" vertical="center" wrapText="1"/>
    </xf>
    <xf numFmtId="167" fontId="34" fillId="11" borderId="3" xfId="5" applyNumberFormat="1" applyFont="1" applyFill="1" applyBorder="1" applyAlignment="1">
      <alignment horizontal="center" vertical="center" wrapText="1"/>
    </xf>
    <xf numFmtId="167" fontId="34" fillId="10" borderId="21" xfId="5" applyNumberFormat="1" applyFont="1" applyFill="1" applyBorder="1" applyAlignment="1">
      <alignment horizontal="center" vertical="center" wrapText="1"/>
    </xf>
    <xf numFmtId="167" fontId="34" fillId="10" borderId="3" xfId="5" applyNumberFormat="1" applyFont="1" applyFill="1" applyBorder="1" applyAlignment="1">
      <alignment horizontal="center" vertical="center" wrapText="1"/>
    </xf>
    <xf numFmtId="167" fontId="34" fillId="19" borderId="21" xfId="5" applyNumberFormat="1" applyFont="1" applyFill="1" applyBorder="1" applyAlignment="1">
      <alignment horizontal="center" vertical="center" wrapText="1"/>
    </xf>
    <xf numFmtId="167" fontId="34" fillId="19" borderId="3" xfId="5" applyNumberFormat="1"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20" borderId="1" xfId="0" applyFont="1" applyFill="1" applyBorder="1" applyAlignment="1">
      <alignment horizontal="center" vertical="center" wrapText="1"/>
    </xf>
    <xf numFmtId="0" fontId="25" fillId="21" borderId="21" xfId="0" applyFont="1" applyFill="1" applyBorder="1" applyAlignment="1">
      <alignment horizontal="center" vertical="center" wrapText="1"/>
    </xf>
    <xf numFmtId="0" fontId="25" fillId="21" borderId="3" xfId="0" applyFont="1" applyFill="1" applyBorder="1" applyAlignment="1">
      <alignment horizontal="center" vertical="center" wrapText="1"/>
    </xf>
    <xf numFmtId="0" fontId="1" fillId="0" borderId="8" xfId="0" applyFont="1" applyBorder="1" applyAlignment="1">
      <alignment horizontal="center" vertical="center" wrapText="1"/>
    </xf>
    <xf numFmtId="167" fontId="34" fillId="3" borderId="21" xfId="5" applyNumberFormat="1" applyFont="1" applyFill="1" applyBorder="1" applyAlignment="1">
      <alignment horizontal="center" vertical="center" wrapText="1"/>
    </xf>
    <xf numFmtId="167" fontId="34" fillId="3" borderId="3" xfId="5" applyNumberFormat="1" applyFont="1" applyFill="1" applyBorder="1" applyAlignment="1">
      <alignment horizontal="center" vertical="center" wrapText="1"/>
    </xf>
    <xf numFmtId="167" fontId="34" fillId="22" borderId="3" xfId="5" applyNumberFormat="1" applyFont="1" applyFill="1" applyBorder="1" applyAlignment="1">
      <alignment horizontal="center" vertical="center" wrapText="1"/>
    </xf>
    <xf numFmtId="0" fontId="1" fillId="22" borderId="21" xfId="0" applyFont="1" applyFill="1" applyBorder="1" applyAlignment="1">
      <alignment horizontal="center" vertical="center" wrapText="1"/>
    </xf>
    <xf numFmtId="0" fontId="1" fillId="22" borderId="3" xfId="0" applyFont="1" applyFill="1" applyBorder="1" applyAlignment="1">
      <alignment horizontal="center" vertical="center" wrapText="1"/>
    </xf>
    <xf numFmtId="167" fontId="34" fillId="21" borderId="3" xfId="5" applyNumberFormat="1" applyFont="1" applyFill="1" applyBorder="1" applyAlignment="1">
      <alignment horizontal="center" vertical="center" wrapText="1"/>
    </xf>
    <xf numFmtId="0" fontId="1" fillId="18" borderId="21" xfId="0" applyFont="1" applyFill="1" applyBorder="1" applyAlignment="1">
      <alignment horizontal="center" vertical="center" wrapText="1"/>
    </xf>
    <xf numFmtId="0" fontId="1" fillId="18"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1" fillId="0" borderId="1" xfId="4" applyFont="1" applyBorder="1" applyAlignment="1">
      <alignment horizontal="center" vertical="center"/>
    </xf>
    <xf numFmtId="0" fontId="23" fillId="0" borderId="1" xfId="0" applyFont="1" applyBorder="1" applyAlignment="1">
      <alignment horizontal="center"/>
    </xf>
    <xf numFmtId="0" fontId="23" fillId="13" borderId="26" xfId="0" applyFont="1" applyFill="1" applyBorder="1" applyAlignment="1">
      <alignment horizontal="center" vertical="center" wrapText="1"/>
    </xf>
    <xf numFmtId="0" fontId="23" fillId="13" borderId="27" xfId="0" applyFont="1" applyFill="1" applyBorder="1" applyAlignment="1">
      <alignment horizontal="center" vertical="center" wrapText="1"/>
    </xf>
    <xf numFmtId="0" fontId="23" fillId="13" borderId="24" xfId="0" applyFont="1" applyFill="1" applyBorder="1" applyAlignment="1">
      <alignment horizontal="center" vertical="center" wrapText="1"/>
    </xf>
    <xf numFmtId="0" fontId="23" fillId="13" borderId="25"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3" fillId="13" borderId="23" xfId="0" applyFont="1" applyFill="1" applyBorder="1" applyAlignment="1">
      <alignment horizontal="center" vertical="center" wrapText="1"/>
    </xf>
    <xf numFmtId="10" fontId="29" fillId="0" borderId="21" xfId="6" applyNumberFormat="1" applyFont="1" applyBorder="1" applyAlignment="1">
      <alignment horizontal="center" vertical="center" wrapText="1"/>
    </xf>
    <xf numFmtId="10" fontId="29" fillId="0" borderId="4" xfId="6" applyNumberFormat="1" applyFont="1" applyBorder="1" applyAlignment="1">
      <alignment horizontal="center" vertical="center" wrapText="1"/>
    </xf>
    <xf numFmtId="10" fontId="29" fillId="0" borderId="3" xfId="6" applyNumberFormat="1" applyFont="1" applyBorder="1" applyAlignment="1">
      <alignment horizontal="center" vertical="center" wrapText="1"/>
    </xf>
    <xf numFmtId="0" fontId="37" fillId="6" borderId="13"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37" fillId="6" borderId="10"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37" fillId="6" borderId="1" xfId="0" applyFont="1" applyFill="1" applyBorder="1" applyAlignment="1">
      <alignment horizontal="center" vertical="center" wrapText="1"/>
    </xf>
    <xf numFmtId="0" fontId="37" fillId="6" borderId="11" xfId="0" applyFont="1" applyFill="1" applyBorder="1" applyAlignment="1">
      <alignment horizontal="center" vertical="center" wrapText="1"/>
    </xf>
    <xf numFmtId="0" fontId="37" fillId="6" borderId="17" xfId="0" applyFont="1" applyFill="1" applyBorder="1" applyAlignment="1">
      <alignment horizontal="center" vertical="center" wrapText="1"/>
    </xf>
    <xf numFmtId="0" fontId="37" fillId="6" borderId="18" xfId="0" applyFont="1" applyFill="1" applyBorder="1" applyAlignment="1">
      <alignment horizontal="center" vertical="center" wrapText="1"/>
    </xf>
    <xf numFmtId="0" fontId="37" fillId="6" borderId="12" xfId="0" applyFont="1" applyFill="1" applyBorder="1" applyAlignment="1">
      <alignment horizontal="center" vertical="center" wrapText="1"/>
    </xf>
    <xf numFmtId="9" fontId="29" fillId="0" borderId="21" xfId="6" applyFont="1" applyFill="1" applyBorder="1" applyAlignment="1">
      <alignment horizontal="center" vertical="center" wrapText="1"/>
    </xf>
    <xf numFmtId="9" fontId="29" fillId="0" borderId="4" xfId="6" applyFont="1" applyFill="1" applyBorder="1" applyAlignment="1">
      <alignment horizontal="center" vertical="center" wrapText="1"/>
    </xf>
    <xf numFmtId="9" fontId="29" fillId="0" borderId="3" xfId="6" applyFont="1" applyFill="1" applyBorder="1" applyAlignment="1">
      <alignment horizontal="center" vertical="center" wrapText="1"/>
    </xf>
    <xf numFmtId="9" fontId="23" fillId="0" borderId="21" xfId="6" applyFont="1" applyBorder="1" applyAlignment="1">
      <alignment horizontal="center" vertical="center" wrapText="1"/>
    </xf>
    <xf numFmtId="9" fontId="23" fillId="0" borderId="4" xfId="6" applyFont="1" applyBorder="1" applyAlignment="1">
      <alignment horizontal="center" vertical="center" wrapText="1"/>
    </xf>
    <xf numFmtId="9" fontId="23" fillId="0" borderId="3" xfId="6" applyFont="1" applyBorder="1" applyAlignment="1">
      <alignment horizontal="center" vertical="center" wrapText="1"/>
    </xf>
    <xf numFmtId="44" fontId="29" fillId="0" borderId="21" xfId="8" applyFont="1" applyFill="1" applyBorder="1" applyAlignment="1">
      <alignment horizontal="center" vertical="center" wrapText="1"/>
    </xf>
    <xf numFmtId="44" fontId="29" fillId="0" borderId="4" xfId="8" applyFont="1" applyFill="1" applyBorder="1" applyAlignment="1">
      <alignment horizontal="center" vertical="center" wrapText="1"/>
    </xf>
    <xf numFmtId="44" fontId="29" fillId="0" borderId="3" xfId="8" applyFont="1" applyFill="1" applyBorder="1" applyAlignment="1">
      <alignment horizontal="center" vertical="center" wrapText="1"/>
    </xf>
    <xf numFmtId="44" fontId="23" fillId="7" borderId="21" xfId="8" applyFont="1" applyFill="1" applyBorder="1" applyAlignment="1">
      <alignment horizontal="center" vertical="center"/>
    </xf>
    <xf numFmtId="44" fontId="23" fillId="7" borderId="4" xfId="8" applyFont="1" applyFill="1" applyBorder="1" applyAlignment="1">
      <alignment horizontal="center" vertical="center"/>
    </xf>
    <xf numFmtId="44" fontId="23" fillId="7" borderId="3" xfId="8" applyFont="1" applyFill="1" applyBorder="1" applyAlignment="1">
      <alignment horizontal="center" vertical="center"/>
    </xf>
    <xf numFmtId="0" fontId="37" fillId="14" borderId="1" xfId="0" applyFont="1" applyFill="1" applyBorder="1" applyAlignment="1">
      <alignment horizontal="left" wrapText="1"/>
    </xf>
    <xf numFmtId="0" fontId="37" fillId="14" borderId="3" xfId="0" applyFont="1" applyFill="1" applyBorder="1" applyAlignment="1">
      <alignment horizontal="left" wrapText="1"/>
    </xf>
    <xf numFmtId="0" fontId="37" fillId="6" borderId="38" xfId="0" applyFont="1" applyFill="1" applyBorder="1" applyAlignment="1">
      <alignment horizontal="center" vertical="center" wrapText="1"/>
    </xf>
    <xf numFmtId="0" fontId="37" fillId="6" borderId="7" xfId="0" applyFont="1" applyFill="1" applyBorder="1" applyAlignment="1">
      <alignment horizontal="center" vertical="center" wrapText="1"/>
    </xf>
    <xf numFmtId="0" fontId="37" fillId="6" borderId="39" xfId="0" applyFont="1" applyFill="1" applyBorder="1" applyAlignment="1">
      <alignment horizontal="center" vertical="center" wrapText="1"/>
    </xf>
    <xf numFmtId="0" fontId="37" fillId="6" borderId="26" xfId="0" applyFont="1" applyFill="1" applyBorder="1" applyAlignment="1">
      <alignment horizontal="left" vertical="center" wrapText="1"/>
    </xf>
    <xf numFmtId="0" fontId="37" fillId="6" borderId="36" xfId="0" applyFont="1" applyFill="1" applyBorder="1" applyAlignment="1">
      <alignment horizontal="left" vertical="center" wrapText="1"/>
    </xf>
    <xf numFmtId="0" fontId="0" fillId="0" borderId="36" xfId="0" applyBorder="1" applyAlignment="1">
      <alignment horizontal="left" vertical="center" wrapText="1"/>
    </xf>
    <xf numFmtId="0" fontId="37" fillId="6" borderId="24" xfId="0" applyFont="1" applyFill="1" applyBorder="1" applyAlignment="1">
      <alignment horizontal="left" vertical="center" wrapText="1"/>
    </xf>
    <xf numFmtId="0" fontId="37" fillId="6" borderId="0" xfId="0" applyFont="1" applyFill="1" applyAlignment="1">
      <alignment horizontal="left" vertical="center" wrapText="1"/>
    </xf>
    <xf numFmtId="0" fontId="0" fillId="0" borderId="0" xfId="0" applyAlignment="1">
      <alignment horizontal="left" vertical="center" wrapText="1"/>
    </xf>
    <xf numFmtId="0" fontId="37" fillId="6" borderId="22" xfId="0" applyFont="1" applyFill="1" applyBorder="1" applyAlignment="1">
      <alignment horizontal="left" vertical="center" wrapText="1"/>
    </xf>
    <xf numFmtId="0" fontId="37" fillId="6" borderId="37" xfId="0" applyFont="1" applyFill="1" applyBorder="1" applyAlignment="1">
      <alignment horizontal="left" vertical="center" wrapText="1"/>
    </xf>
    <xf numFmtId="0" fontId="0" fillId="0" borderId="37" xfId="0" applyBorder="1" applyAlignment="1">
      <alignment horizontal="left" vertical="center" wrapText="1"/>
    </xf>
    <xf numFmtId="14" fontId="29" fillId="7" borderId="21" xfId="0" applyNumberFormat="1" applyFont="1" applyFill="1" applyBorder="1" applyAlignment="1">
      <alignment horizontal="right" vertical="center" wrapText="1"/>
    </xf>
    <xf numFmtId="14" fontId="29" fillId="7" borderId="3" xfId="0" applyNumberFormat="1" applyFont="1" applyFill="1" applyBorder="1" applyAlignment="1">
      <alignment horizontal="right" vertical="center" wrapText="1"/>
    </xf>
    <xf numFmtId="0" fontId="23" fillId="7" borderId="21" xfId="0" applyFont="1" applyFill="1" applyBorder="1" applyAlignment="1">
      <alignment vertical="center" wrapText="1"/>
    </xf>
    <xf numFmtId="0" fontId="23" fillId="7" borderId="4" xfId="0" applyFont="1" applyFill="1" applyBorder="1" applyAlignment="1">
      <alignment vertical="center" wrapText="1"/>
    </xf>
    <xf numFmtId="0" fontId="23" fillId="7" borderId="3" xfId="0" applyFont="1" applyFill="1" applyBorder="1" applyAlignment="1">
      <alignment vertical="center" wrapText="1"/>
    </xf>
    <xf numFmtId="0" fontId="66" fillId="6" borderId="40"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0" fontId="0" fillId="6" borderId="29" xfId="0" applyFill="1" applyBorder="1" applyAlignment="1">
      <alignment horizontal="left" vertical="center" wrapText="1"/>
    </xf>
    <xf numFmtId="0" fontId="0" fillId="6" borderId="0" xfId="0" applyFill="1" applyAlignment="1">
      <alignment horizontal="left" vertical="center" wrapText="1"/>
    </xf>
    <xf numFmtId="0" fontId="0" fillId="6" borderId="28" xfId="0" applyFill="1" applyBorder="1" applyAlignment="1">
      <alignment horizontal="left" vertical="center" wrapText="1"/>
    </xf>
    <xf numFmtId="0" fontId="0" fillId="6" borderId="41" xfId="0" applyFill="1" applyBorder="1" applyAlignment="1">
      <alignment horizontal="left" vertical="center" wrapText="1"/>
    </xf>
    <xf numFmtId="0" fontId="0" fillId="6" borderId="30" xfId="0" applyFill="1" applyBorder="1" applyAlignment="1">
      <alignment horizontal="left" vertical="center" wrapText="1"/>
    </xf>
    <xf numFmtId="0" fontId="0" fillId="6" borderId="31" xfId="0" applyFill="1" applyBorder="1" applyAlignment="1">
      <alignment horizontal="left" vertical="center" wrapText="1"/>
    </xf>
    <xf numFmtId="43" fontId="29" fillId="0" borderId="1" xfId="5" applyFont="1" applyBorder="1" applyAlignment="1">
      <alignment horizontal="center" vertical="center" wrapText="1"/>
    </xf>
    <xf numFmtId="10" fontId="29" fillId="0" borderId="1" xfId="6" applyNumberFormat="1" applyFont="1" applyBorder="1" applyAlignment="1">
      <alignment horizontal="center" vertical="center" wrapText="1"/>
    </xf>
    <xf numFmtId="43" fontId="29" fillId="0" borderId="1" xfId="5" applyFont="1" applyFill="1" applyBorder="1" applyAlignment="1">
      <alignment horizontal="center" vertical="center" wrapText="1"/>
    </xf>
    <xf numFmtId="10" fontId="29" fillId="0" borderId="1" xfId="6" applyNumberFormat="1" applyFont="1" applyFill="1" applyBorder="1" applyAlignment="1">
      <alignment horizontal="center" vertical="center" wrapText="1"/>
    </xf>
    <xf numFmtId="44" fontId="23" fillId="7" borderId="21" xfId="8" applyFont="1" applyFill="1" applyBorder="1" applyAlignment="1">
      <alignment horizontal="center" vertical="center" wrapText="1"/>
    </xf>
    <xf numFmtId="44" fontId="23" fillId="7" borderId="4" xfId="8" applyFont="1" applyFill="1" applyBorder="1" applyAlignment="1">
      <alignment horizontal="center" vertical="center" wrapText="1"/>
    </xf>
    <xf numFmtId="44" fontId="23" fillId="7" borderId="3" xfId="8" applyFont="1" applyFill="1" applyBorder="1" applyAlignment="1">
      <alignment horizontal="center" vertical="center" wrapText="1"/>
    </xf>
    <xf numFmtId="43" fontId="23" fillId="0" borderId="1" xfId="5" applyFont="1" applyBorder="1" applyAlignment="1">
      <alignment horizontal="center" vertical="center"/>
    </xf>
    <xf numFmtId="0" fontId="52" fillId="0" borderId="0" xfId="0" applyFont="1" applyAlignment="1">
      <alignment horizontal="center" vertical="center"/>
    </xf>
    <xf numFmtId="0" fontId="14" fillId="0" borderId="1" xfId="4" applyFont="1" applyBorder="1" applyAlignment="1">
      <alignment horizontal="center" vertical="center"/>
    </xf>
    <xf numFmtId="0" fontId="14" fillId="0" borderId="18" xfId="4" applyFont="1" applyBorder="1" applyAlignment="1">
      <alignment horizontal="center"/>
    </xf>
    <xf numFmtId="0" fontId="14" fillId="0" borderId="0" xfId="4" applyFont="1" applyAlignment="1">
      <alignment horizontal="center"/>
    </xf>
    <xf numFmtId="0" fontId="13" fillId="4" borderId="14" xfId="4" applyFont="1" applyFill="1" applyBorder="1" applyAlignment="1">
      <alignment horizontal="center" vertical="center"/>
    </xf>
    <xf numFmtId="0" fontId="14" fillId="0" borderId="1" xfId="4" applyFont="1" applyBorder="1" applyAlignment="1">
      <alignment horizontal="center" vertical="center" wrapText="1"/>
    </xf>
    <xf numFmtId="0" fontId="15" fillId="4" borderId="13"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0" xfId="4" applyFont="1" applyFill="1" applyBorder="1" applyAlignment="1">
      <alignment horizontal="center" vertical="center"/>
    </xf>
    <xf numFmtId="0" fontId="13" fillId="4" borderId="1" xfId="4" applyFont="1" applyFill="1" applyBorder="1" applyAlignment="1">
      <alignment horizontal="center" vertical="center"/>
    </xf>
    <xf numFmtId="0" fontId="14" fillId="0" borderId="7" xfId="4" applyFont="1" applyBorder="1" applyAlignment="1">
      <alignment horizontal="center" vertical="center" wrapText="1"/>
    </xf>
    <xf numFmtId="0" fontId="14" fillId="0" borderId="8" xfId="4" applyFont="1" applyBorder="1" applyAlignment="1">
      <alignment horizontal="center" vertical="center" wrapText="1"/>
    </xf>
    <xf numFmtId="0" fontId="14" fillId="0" borderId="9" xfId="4" applyFont="1" applyBorder="1" applyAlignment="1">
      <alignment horizontal="center" vertical="center" wrapText="1"/>
    </xf>
    <xf numFmtId="0" fontId="14" fillId="0" borderId="7" xfId="4" applyFont="1" applyBorder="1" applyAlignment="1">
      <alignment horizontal="center"/>
    </xf>
    <xf numFmtId="0" fontId="14" fillId="0" borderId="8" xfId="4" applyFont="1" applyBorder="1" applyAlignment="1">
      <alignment horizontal="center"/>
    </xf>
    <xf numFmtId="0" fontId="14" fillId="0" borderId="9" xfId="4" applyFont="1" applyBorder="1" applyAlignment="1">
      <alignment horizontal="center"/>
    </xf>
    <xf numFmtId="0" fontId="1" fillId="19" borderId="1" xfId="0" applyFont="1" applyFill="1" applyBorder="1" applyAlignment="1">
      <alignment horizontal="center" vertical="center" wrapText="1"/>
    </xf>
  </cellXfs>
  <cellStyles count="9">
    <cellStyle name="BodyStyle" xfId="2" xr:uid="{00000000-0005-0000-0000-000000000000}"/>
    <cellStyle name="HeaderStyle" xfId="1" xr:uid="{00000000-0005-0000-0000-000001000000}"/>
    <cellStyle name="Millares" xfId="5" builtinId="3"/>
    <cellStyle name="Moneda" xfId="8" builtinId="4"/>
    <cellStyle name="Normal" xfId="0" builtinId="0"/>
    <cellStyle name="Normal 2" xfId="4" xr:uid="{00000000-0005-0000-0000-000005000000}"/>
    <cellStyle name="Normal 3" xfId="7" xr:uid="{00000000-0005-0000-0000-000006000000}"/>
    <cellStyle name="Numeric" xfId="3" xr:uid="{00000000-0005-0000-0000-000007000000}"/>
    <cellStyle name="Porcentaje" xfId="6" builtinId="5"/>
  </cellStyles>
  <dxfs count="0"/>
  <tableStyles count="0" defaultTableStyle="TableStyleMedium2" defaultPivotStyle="PivotStyleLight16"/>
  <colors>
    <mruColors>
      <color rgb="FFFDB5C8"/>
      <color rgb="FFFA265E"/>
      <color rgb="FFE838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349251</xdr:colOff>
      <xdr:row>0</xdr:row>
      <xdr:rowOff>31750</xdr:rowOff>
    </xdr:from>
    <xdr:to>
      <xdr:col>2</xdr:col>
      <xdr:colOff>751418</xdr:colOff>
      <xdr:row>2</xdr:row>
      <xdr:rowOff>72520</xdr:rowOff>
    </xdr:to>
    <xdr:pic>
      <xdr:nvPicPr>
        <xdr:cNvPr id="2" name="Imagen 1">
          <a:extLst>
            <a:ext uri="{FF2B5EF4-FFF2-40B4-BE49-F238E27FC236}">
              <a16:creationId xmlns:a16="http://schemas.microsoft.com/office/drawing/2014/main" id="{3433AC30-18A5-42F7-9205-2C49C5F086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1301" y="31750"/>
          <a:ext cx="1507067" cy="1294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3"/>
  <sheetViews>
    <sheetView topLeftCell="H1" zoomScale="105" zoomScaleNormal="60" workbookViewId="0">
      <selection activeCell="B3" sqref="B3:H3"/>
    </sheetView>
  </sheetViews>
  <sheetFormatPr baseColWidth="10" defaultColWidth="11.42578125" defaultRowHeight="15" x14ac:dyDescent="0.25"/>
  <cols>
    <col min="1" max="1" width="34.28515625" customWidth="1"/>
    <col min="3" max="3" width="28.5703125" customWidth="1"/>
    <col min="4" max="4" width="21.5703125" customWidth="1"/>
    <col min="5" max="5" width="19.42578125" customWidth="1"/>
    <col min="6" max="6" width="27.5703125" customWidth="1"/>
    <col min="7" max="7" width="17.140625" customWidth="1"/>
    <col min="8" max="8" width="43.7109375" customWidth="1"/>
    <col min="9" max="9" width="23.28515625" customWidth="1"/>
    <col min="10" max="10" width="15.7109375" customWidth="1"/>
    <col min="11" max="11" width="17.7109375" customWidth="1"/>
    <col min="12" max="12" width="19.42578125" customWidth="1"/>
    <col min="13" max="13" width="25.42578125" customWidth="1"/>
    <col min="14" max="14" width="20.7109375" customWidth="1"/>
    <col min="17" max="17" width="16.7109375" customWidth="1"/>
    <col min="18" max="18" width="20.5703125" customWidth="1"/>
    <col min="19" max="19" width="18.7109375" customWidth="1"/>
    <col min="20" max="20" width="22.85546875" customWidth="1"/>
    <col min="21" max="21" width="22.140625" customWidth="1"/>
    <col min="22" max="22" width="25.5703125" customWidth="1"/>
    <col min="23" max="23" width="21.140625" customWidth="1"/>
    <col min="24" max="24" width="19.140625" customWidth="1"/>
    <col min="25" max="25" width="17.42578125" customWidth="1"/>
    <col min="26" max="26" width="16.5703125" customWidth="1"/>
    <col min="27" max="27" width="16.42578125" customWidth="1"/>
    <col min="28" max="28" width="28.7109375" customWidth="1"/>
    <col min="29" max="29" width="19.5703125" customWidth="1"/>
    <col min="30" max="30" width="21.140625" customWidth="1"/>
    <col min="31" max="31" width="21.7109375" customWidth="1"/>
    <col min="32" max="32" width="25.5703125" customWidth="1"/>
    <col min="33" max="33" width="22.28515625" customWidth="1"/>
    <col min="34" max="34" width="29.7109375" customWidth="1"/>
    <col min="35" max="35" width="18.7109375" customWidth="1"/>
    <col min="36" max="36" width="18.28515625" customWidth="1"/>
    <col min="37" max="37" width="22.28515625" customWidth="1"/>
  </cols>
  <sheetData>
    <row r="1" spans="1:51" ht="54.75" customHeight="1" x14ac:dyDescent="0.25">
      <c r="A1" s="280" t="s">
        <v>0</v>
      </c>
      <c r="B1" s="280"/>
      <c r="C1" s="280"/>
      <c r="D1" s="280"/>
      <c r="E1" s="280"/>
      <c r="F1" s="280"/>
      <c r="G1" s="280"/>
      <c r="H1" s="280"/>
      <c r="I1" s="280"/>
    </row>
    <row r="2" spans="1:51" ht="36.75" customHeight="1" x14ac:dyDescent="0.25">
      <c r="A2" s="280" t="s">
        <v>1</v>
      </c>
      <c r="B2" s="280"/>
      <c r="C2" s="280"/>
      <c r="D2" s="280"/>
      <c r="E2" s="280"/>
      <c r="F2" s="280"/>
      <c r="G2" s="280"/>
      <c r="H2" s="280"/>
      <c r="I2" s="280"/>
      <c r="J2" s="17"/>
      <c r="K2" s="17"/>
      <c r="L2" s="17"/>
      <c r="M2" s="17"/>
      <c r="N2" s="17"/>
      <c r="O2" s="15"/>
      <c r="P2" s="15"/>
      <c r="Q2" s="15"/>
      <c r="R2" s="17"/>
      <c r="S2" s="17"/>
      <c r="T2" s="17"/>
      <c r="U2" s="16"/>
      <c r="V2" s="16"/>
      <c r="W2" s="16"/>
      <c r="X2" s="16"/>
      <c r="Y2" s="17"/>
      <c r="Z2" s="17"/>
      <c r="AA2" s="17"/>
      <c r="AB2" s="18"/>
      <c r="AC2" s="18"/>
      <c r="AD2" s="18"/>
      <c r="AE2" s="18"/>
      <c r="AF2" s="18"/>
      <c r="AG2" s="18"/>
      <c r="AH2" s="19"/>
      <c r="AI2" s="19"/>
      <c r="AJ2" s="19"/>
      <c r="AK2" s="19"/>
      <c r="AL2" s="19"/>
      <c r="AM2" s="19"/>
      <c r="AN2" s="19"/>
      <c r="AO2" s="19"/>
      <c r="AP2" s="19"/>
      <c r="AQ2" s="19"/>
      <c r="AR2" s="15"/>
      <c r="AS2" s="15"/>
      <c r="AT2" s="15"/>
      <c r="AU2" s="15"/>
      <c r="AV2" s="15"/>
      <c r="AW2" s="17"/>
      <c r="AX2" s="14"/>
      <c r="AY2" s="14"/>
    </row>
    <row r="3" spans="1:51" ht="48" customHeight="1" x14ac:dyDescent="0.25">
      <c r="A3" s="23" t="s">
        <v>2</v>
      </c>
      <c r="B3" s="295" t="s">
        <v>3</v>
      </c>
      <c r="C3" s="296"/>
      <c r="D3" s="296"/>
      <c r="E3" s="296"/>
      <c r="F3" s="296"/>
      <c r="G3" s="296"/>
      <c r="H3" s="297"/>
      <c r="I3" s="21"/>
    </row>
    <row r="4" spans="1:51" ht="31.5" customHeight="1" x14ac:dyDescent="0.25">
      <c r="A4" s="23" t="s">
        <v>4</v>
      </c>
      <c r="B4" s="295" t="s">
        <v>5</v>
      </c>
      <c r="C4" s="296"/>
      <c r="D4" s="296"/>
      <c r="E4" s="296"/>
      <c r="F4" s="296"/>
      <c r="G4" s="296"/>
      <c r="H4" s="297"/>
      <c r="I4" s="21"/>
    </row>
    <row r="5" spans="1:51" ht="40.5" customHeight="1" x14ac:dyDescent="0.25">
      <c r="A5" s="23" t="s">
        <v>6</v>
      </c>
      <c r="B5" s="295" t="s">
        <v>7</v>
      </c>
      <c r="C5" s="296"/>
      <c r="D5" s="296"/>
      <c r="E5" s="296"/>
      <c r="F5" s="296"/>
      <c r="G5" s="296"/>
      <c r="H5" s="297"/>
      <c r="I5" s="21"/>
    </row>
    <row r="6" spans="1:51" ht="56.25" customHeight="1" x14ac:dyDescent="0.25">
      <c r="A6" s="23" t="s">
        <v>8</v>
      </c>
      <c r="B6" s="295" t="s">
        <v>9</v>
      </c>
      <c r="C6" s="296"/>
      <c r="D6" s="296"/>
      <c r="E6" s="296"/>
      <c r="F6" s="296"/>
      <c r="G6" s="296"/>
      <c r="H6" s="297"/>
      <c r="I6" s="21"/>
    </row>
    <row r="7" spans="1:51" ht="30" x14ac:dyDescent="0.25">
      <c r="A7" s="23" t="s">
        <v>10</v>
      </c>
      <c r="B7" s="295" t="s">
        <v>11</v>
      </c>
      <c r="C7" s="296"/>
      <c r="D7" s="296"/>
      <c r="E7" s="296"/>
      <c r="F7" s="296"/>
      <c r="G7" s="296"/>
      <c r="H7" s="297"/>
      <c r="I7" s="21"/>
    </row>
    <row r="8" spans="1:51" ht="30" x14ac:dyDescent="0.25">
      <c r="A8" s="23" t="s">
        <v>12</v>
      </c>
      <c r="B8" s="295" t="s">
        <v>13</v>
      </c>
      <c r="C8" s="296"/>
      <c r="D8" s="296"/>
      <c r="E8" s="296"/>
      <c r="F8" s="296"/>
      <c r="G8" s="296"/>
      <c r="H8" s="297"/>
      <c r="I8" s="21"/>
    </row>
    <row r="9" spans="1:51" x14ac:dyDescent="0.25">
      <c r="A9" s="23" t="s">
        <v>14</v>
      </c>
      <c r="B9" s="295" t="s">
        <v>15</v>
      </c>
      <c r="C9" s="296"/>
      <c r="D9" s="296"/>
      <c r="E9" s="296"/>
      <c r="F9" s="296"/>
      <c r="G9" s="296"/>
      <c r="H9" s="297"/>
      <c r="I9" s="21"/>
    </row>
    <row r="10" spans="1:51" ht="30" x14ac:dyDescent="0.25">
      <c r="A10" s="23" t="s">
        <v>16</v>
      </c>
      <c r="B10" s="295" t="s">
        <v>17</v>
      </c>
      <c r="C10" s="296"/>
      <c r="D10" s="296"/>
      <c r="E10" s="296"/>
      <c r="F10" s="296"/>
      <c r="G10" s="296"/>
      <c r="H10" s="297"/>
      <c r="I10" s="21"/>
    </row>
    <row r="11" spans="1:51" ht="30" x14ac:dyDescent="0.25">
      <c r="A11" s="23" t="s">
        <v>18</v>
      </c>
      <c r="B11" s="295" t="s">
        <v>19</v>
      </c>
      <c r="C11" s="296"/>
      <c r="D11" s="296"/>
      <c r="E11" s="296"/>
      <c r="F11" s="296"/>
      <c r="G11" s="296"/>
      <c r="H11" s="297"/>
      <c r="I11" s="21"/>
    </row>
    <row r="12" spans="1:51" ht="58.5" customHeight="1" x14ac:dyDescent="0.25">
      <c r="A12" s="23" t="s">
        <v>20</v>
      </c>
      <c r="B12" s="295" t="s">
        <v>21</v>
      </c>
      <c r="C12" s="296"/>
      <c r="D12" s="296"/>
      <c r="E12" s="296"/>
      <c r="F12" s="296"/>
      <c r="G12" s="296"/>
      <c r="H12" s="297"/>
      <c r="I12" s="21"/>
    </row>
    <row r="13" spans="1:51" ht="30" x14ac:dyDescent="0.25">
      <c r="A13" s="23" t="s">
        <v>22</v>
      </c>
      <c r="B13" s="295" t="s">
        <v>23</v>
      </c>
      <c r="C13" s="296"/>
      <c r="D13" s="296"/>
      <c r="E13" s="296"/>
      <c r="F13" s="296"/>
      <c r="G13" s="296"/>
      <c r="H13" s="297"/>
      <c r="I13" s="21"/>
    </row>
    <row r="14" spans="1:51" ht="30" x14ac:dyDescent="0.25">
      <c r="A14" s="23" t="s">
        <v>24</v>
      </c>
      <c r="B14" s="295" t="s">
        <v>25</v>
      </c>
      <c r="C14" s="296"/>
      <c r="D14" s="296"/>
      <c r="E14" s="296"/>
      <c r="F14" s="296"/>
      <c r="G14" s="296"/>
      <c r="H14" s="297"/>
      <c r="I14" s="21"/>
    </row>
    <row r="15" spans="1:51" ht="30" x14ac:dyDescent="0.25">
      <c r="A15" s="23" t="s">
        <v>26</v>
      </c>
      <c r="B15" s="295" t="s">
        <v>27</v>
      </c>
      <c r="C15" s="296"/>
      <c r="D15" s="296"/>
      <c r="E15" s="296"/>
      <c r="F15" s="296"/>
      <c r="G15" s="296"/>
      <c r="H15" s="297"/>
      <c r="I15" s="21"/>
    </row>
    <row r="16" spans="1:51" ht="30" x14ac:dyDescent="0.25">
      <c r="A16" s="23" t="s">
        <v>28</v>
      </c>
      <c r="B16" s="295" t="s">
        <v>29</v>
      </c>
      <c r="C16" s="296"/>
      <c r="D16" s="296"/>
      <c r="E16" s="296"/>
      <c r="F16" s="296"/>
      <c r="G16" s="296"/>
      <c r="H16" s="297"/>
      <c r="I16" s="21"/>
    </row>
    <row r="17" spans="1:9" ht="30" x14ac:dyDescent="0.25">
      <c r="A17" s="23" t="s">
        <v>30</v>
      </c>
      <c r="B17" s="295" t="s">
        <v>31</v>
      </c>
      <c r="C17" s="296"/>
      <c r="D17" s="296"/>
      <c r="E17" s="296"/>
      <c r="F17" s="296"/>
      <c r="G17" s="296"/>
      <c r="H17" s="297"/>
      <c r="I17" s="21"/>
    </row>
    <row r="18" spans="1:9" ht="60" customHeight="1" x14ac:dyDescent="0.25">
      <c r="A18" s="23" t="s">
        <v>32</v>
      </c>
      <c r="B18" s="295" t="s">
        <v>33</v>
      </c>
      <c r="C18" s="296"/>
      <c r="D18" s="296"/>
      <c r="E18" s="296"/>
      <c r="F18" s="296"/>
      <c r="G18" s="296"/>
      <c r="H18" s="297"/>
      <c r="I18" s="21"/>
    </row>
    <row r="19" spans="1:9" ht="45.75" customHeight="1" x14ac:dyDescent="0.25">
      <c r="A19" s="23" t="s">
        <v>34</v>
      </c>
      <c r="B19" s="295" t="s">
        <v>35</v>
      </c>
      <c r="C19" s="296"/>
      <c r="D19" s="296"/>
      <c r="E19" s="296"/>
      <c r="F19" s="296"/>
      <c r="G19" s="296"/>
      <c r="H19" s="297"/>
      <c r="I19" s="21"/>
    </row>
    <row r="20" spans="1:9" ht="51.75" customHeight="1" x14ac:dyDescent="0.25">
      <c r="A20" s="23" t="s">
        <v>36</v>
      </c>
      <c r="B20" s="295" t="s">
        <v>37</v>
      </c>
      <c r="C20" s="296"/>
      <c r="D20" s="296"/>
      <c r="E20" s="296"/>
      <c r="F20" s="296"/>
      <c r="G20" s="296"/>
      <c r="H20" s="297"/>
      <c r="I20" s="21"/>
    </row>
    <row r="21" spans="1:9" ht="57.75" customHeight="1" x14ac:dyDescent="0.25">
      <c r="A21" s="23" t="s">
        <v>38</v>
      </c>
      <c r="B21" s="295" t="s">
        <v>39</v>
      </c>
      <c r="C21" s="296"/>
      <c r="D21" s="296"/>
      <c r="E21" s="296"/>
      <c r="F21" s="296"/>
      <c r="G21" s="296"/>
      <c r="H21" s="297"/>
      <c r="I21" s="21"/>
    </row>
    <row r="22" spans="1:9" x14ac:dyDescent="0.25">
      <c r="A22" s="301"/>
      <c r="B22" s="302"/>
      <c r="C22" s="302"/>
      <c r="D22" s="302"/>
      <c r="E22" s="302"/>
      <c r="F22" s="302"/>
      <c r="G22" s="302"/>
      <c r="H22" s="302"/>
      <c r="I22" s="303"/>
    </row>
    <row r="23" spans="1:9" ht="51" customHeight="1" x14ac:dyDescent="0.25">
      <c r="A23" s="280" t="s">
        <v>40</v>
      </c>
      <c r="B23" s="280"/>
      <c r="C23" s="280"/>
      <c r="D23" s="280"/>
      <c r="E23" s="280"/>
      <c r="F23" s="280"/>
      <c r="G23" s="280"/>
      <c r="H23" s="280"/>
      <c r="I23" s="280"/>
    </row>
    <row r="24" spans="1:9" ht="180" customHeight="1" x14ac:dyDescent="0.25">
      <c r="A24" s="298" t="s">
        <v>41</v>
      </c>
      <c r="B24" s="299"/>
      <c r="C24" s="299"/>
      <c r="D24" s="299"/>
      <c r="E24" s="299"/>
      <c r="F24" s="299"/>
      <c r="G24" s="299"/>
      <c r="H24" s="299"/>
      <c r="I24" s="300"/>
    </row>
    <row r="25" spans="1:9" ht="201" customHeight="1" x14ac:dyDescent="0.25">
      <c r="A25" s="24" t="s">
        <v>42</v>
      </c>
      <c r="B25" s="292" t="s">
        <v>43</v>
      </c>
      <c r="C25" s="292"/>
      <c r="D25" s="292"/>
      <c r="E25" s="292"/>
      <c r="F25" s="292"/>
      <c r="G25" s="292"/>
      <c r="H25" s="292"/>
      <c r="I25" s="292"/>
    </row>
    <row r="26" spans="1:9" ht="120.75" customHeight="1" x14ac:dyDescent="0.25">
      <c r="A26" s="24" t="s">
        <v>44</v>
      </c>
      <c r="B26" s="292" t="s">
        <v>45</v>
      </c>
      <c r="C26" s="292"/>
      <c r="D26" s="292"/>
      <c r="E26" s="292"/>
      <c r="F26" s="292"/>
      <c r="G26" s="292"/>
      <c r="H26" s="292"/>
      <c r="I26" s="292"/>
    </row>
    <row r="27" spans="1:9" ht="87" customHeight="1" x14ac:dyDescent="0.25">
      <c r="A27" s="24" t="s">
        <v>46</v>
      </c>
      <c r="B27" s="292" t="s">
        <v>47</v>
      </c>
      <c r="C27" s="292"/>
      <c r="D27" s="292"/>
      <c r="E27" s="292"/>
      <c r="F27" s="292"/>
      <c r="G27" s="292"/>
      <c r="H27" s="292"/>
      <c r="I27" s="292"/>
    </row>
    <row r="28" spans="1:9" ht="45.75" customHeight="1" x14ac:dyDescent="0.25">
      <c r="A28" s="24" t="s">
        <v>48</v>
      </c>
      <c r="B28" s="292" t="s">
        <v>49</v>
      </c>
      <c r="C28" s="292"/>
      <c r="D28" s="292"/>
      <c r="E28" s="292"/>
      <c r="F28" s="292"/>
      <c r="G28" s="292"/>
      <c r="H28" s="292"/>
      <c r="I28" s="292"/>
    </row>
    <row r="29" spans="1:9" x14ac:dyDescent="0.25">
      <c r="A29" s="304"/>
      <c r="B29" s="304"/>
      <c r="C29" s="304"/>
      <c r="D29" s="304"/>
      <c r="E29" s="304"/>
      <c r="F29" s="304"/>
      <c r="G29" s="304"/>
      <c r="H29" s="304"/>
      <c r="I29" s="304"/>
    </row>
    <row r="30" spans="1:9" ht="45" customHeight="1" x14ac:dyDescent="0.25">
      <c r="A30" s="293" t="s">
        <v>50</v>
      </c>
      <c r="B30" s="293"/>
      <c r="C30" s="293"/>
      <c r="D30" s="293"/>
      <c r="E30" s="293"/>
      <c r="F30" s="293"/>
      <c r="G30" s="293"/>
      <c r="H30" s="293"/>
      <c r="I30" s="293"/>
    </row>
    <row r="31" spans="1:9" ht="42" customHeight="1" x14ac:dyDescent="0.25">
      <c r="A31" s="294" t="s">
        <v>51</v>
      </c>
      <c r="B31" s="294"/>
      <c r="C31" s="285" t="s">
        <v>52</v>
      </c>
      <c r="D31" s="286"/>
      <c r="E31" s="286"/>
      <c r="F31" s="286"/>
      <c r="G31" s="286"/>
      <c r="H31" s="287"/>
      <c r="I31" s="20"/>
    </row>
    <row r="32" spans="1:9" ht="43.5" customHeight="1" x14ac:dyDescent="0.25">
      <c r="A32" s="294" t="s">
        <v>53</v>
      </c>
      <c r="B32" s="294"/>
      <c r="C32" s="285" t="s">
        <v>54</v>
      </c>
      <c r="D32" s="286"/>
      <c r="E32" s="286"/>
      <c r="F32" s="286"/>
      <c r="G32" s="286"/>
      <c r="H32" s="287"/>
      <c r="I32" s="20"/>
    </row>
    <row r="33" spans="1:9" ht="40.5" customHeight="1" x14ac:dyDescent="0.25">
      <c r="A33" s="294" t="s">
        <v>55</v>
      </c>
      <c r="B33" s="294"/>
      <c r="C33" s="285" t="s">
        <v>56</v>
      </c>
      <c r="D33" s="286"/>
      <c r="E33" s="286"/>
      <c r="F33" s="286"/>
      <c r="G33" s="286"/>
      <c r="H33" s="287"/>
      <c r="I33" s="20"/>
    </row>
    <row r="34" spans="1:9" ht="75.75" customHeight="1" x14ac:dyDescent="0.25">
      <c r="A34" s="282" t="s">
        <v>57</v>
      </c>
      <c r="B34" s="282"/>
      <c r="C34" s="295" t="s">
        <v>58</v>
      </c>
      <c r="D34" s="296"/>
      <c r="E34" s="296"/>
      <c r="F34" s="296"/>
      <c r="G34" s="296"/>
      <c r="H34" s="297"/>
      <c r="I34" s="20"/>
    </row>
    <row r="35" spans="1:9" ht="57.75" customHeight="1" x14ac:dyDescent="0.25">
      <c r="A35" s="282" t="s">
        <v>59</v>
      </c>
      <c r="B35" s="282"/>
      <c r="C35" s="285" t="s">
        <v>60</v>
      </c>
      <c r="D35" s="286"/>
      <c r="E35" s="286"/>
      <c r="F35" s="286"/>
      <c r="G35" s="286"/>
      <c r="H35" s="287"/>
      <c r="I35" s="20"/>
    </row>
    <row r="36" spans="1:9" ht="73.5" customHeight="1" x14ac:dyDescent="0.25">
      <c r="A36" s="282" t="s">
        <v>61</v>
      </c>
      <c r="B36" s="282"/>
      <c r="C36" s="285" t="s">
        <v>62</v>
      </c>
      <c r="D36" s="286"/>
      <c r="E36" s="286"/>
      <c r="F36" s="286"/>
      <c r="G36" s="286"/>
      <c r="H36" s="287"/>
      <c r="I36" s="20"/>
    </row>
    <row r="37" spans="1:9" ht="67.5" customHeight="1" x14ac:dyDescent="0.25">
      <c r="A37" s="282" t="s">
        <v>63</v>
      </c>
      <c r="B37" s="282"/>
      <c r="C37" s="285" t="s">
        <v>64</v>
      </c>
      <c r="D37" s="286"/>
      <c r="E37" s="286"/>
      <c r="F37" s="286"/>
      <c r="G37" s="286"/>
      <c r="H37" s="287"/>
      <c r="I37" s="20"/>
    </row>
    <row r="38" spans="1:9" ht="45.75" customHeight="1" x14ac:dyDescent="0.25">
      <c r="A38" s="282" t="s">
        <v>65</v>
      </c>
      <c r="B38" s="282"/>
      <c r="C38" s="285" t="s">
        <v>66</v>
      </c>
      <c r="D38" s="286"/>
      <c r="E38" s="286"/>
      <c r="F38" s="286"/>
      <c r="G38" s="286"/>
      <c r="H38" s="287"/>
      <c r="I38" s="20"/>
    </row>
    <row r="39" spans="1:9" ht="39.75" customHeight="1" x14ac:dyDescent="0.25">
      <c r="A39" s="282" t="s">
        <v>67</v>
      </c>
      <c r="B39" s="282"/>
      <c r="C39" s="285" t="s">
        <v>68</v>
      </c>
      <c r="D39" s="286"/>
      <c r="E39" s="286"/>
      <c r="F39" s="286"/>
      <c r="G39" s="286"/>
      <c r="H39" s="287"/>
      <c r="I39" s="20"/>
    </row>
    <row r="40" spans="1:9" ht="52.5" customHeight="1" x14ac:dyDescent="0.25">
      <c r="A40" s="283" t="s">
        <v>69</v>
      </c>
      <c r="B40" s="283"/>
      <c r="C40" s="285" t="s">
        <v>70</v>
      </c>
      <c r="D40" s="286"/>
      <c r="E40" s="286"/>
      <c r="F40" s="286"/>
      <c r="G40" s="286"/>
      <c r="H40" s="287"/>
      <c r="I40" s="20"/>
    </row>
    <row r="42" spans="1:9" ht="42.75" customHeight="1" x14ac:dyDescent="0.25">
      <c r="A42" s="284" t="s">
        <v>71</v>
      </c>
      <c r="B42" s="284"/>
      <c r="C42" s="284"/>
      <c r="D42" s="284"/>
      <c r="E42" s="284"/>
      <c r="F42" s="284"/>
      <c r="G42" s="284"/>
      <c r="H42" s="284"/>
    </row>
    <row r="43" spans="1:9" ht="53.25" customHeight="1" x14ac:dyDescent="0.25">
      <c r="A43" s="281" t="s">
        <v>72</v>
      </c>
      <c r="B43" s="281"/>
      <c r="C43" s="285" t="s">
        <v>73</v>
      </c>
      <c r="D43" s="286"/>
      <c r="E43" s="286"/>
      <c r="F43" s="286"/>
      <c r="G43" s="286"/>
      <c r="H43" s="287"/>
    </row>
    <row r="44" spans="1:9" ht="69" customHeight="1" x14ac:dyDescent="0.25">
      <c r="A44" s="281" t="s">
        <v>74</v>
      </c>
      <c r="B44" s="281"/>
      <c r="C44" s="295" t="s">
        <v>75</v>
      </c>
      <c r="D44" s="296"/>
      <c r="E44" s="296"/>
      <c r="F44" s="296"/>
      <c r="G44" s="296"/>
      <c r="H44" s="297"/>
    </row>
    <row r="45" spans="1:9" ht="56.25" customHeight="1" x14ac:dyDescent="0.25">
      <c r="A45" s="281" t="s">
        <v>76</v>
      </c>
      <c r="B45" s="281"/>
      <c r="C45" s="285" t="s">
        <v>77</v>
      </c>
      <c r="D45" s="286"/>
      <c r="E45" s="286"/>
      <c r="F45" s="286"/>
      <c r="G45" s="286"/>
      <c r="H45" s="287"/>
    </row>
    <row r="46" spans="1:9" ht="51.75" customHeight="1" x14ac:dyDescent="0.25">
      <c r="A46" s="281" t="s">
        <v>78</v>
      </c>
      <c r="B46" s="281"/>
      <c r="C46" s="285" t="s">
        <v>79</v>
      </c>
      <c r="D46" s="286"/>
      <c r="E46" s="286"/>
      <c r="F46" s="286"/>
      <c r="G46" s="286"/>
      <c r="H46" s="287"/>
    </row>
    <row r="47" spans="1:9" ht="48.75" customHeight="1" x14ac:dyDescent="0.25">
      <c r="A47" s="281" t="s">
        <v>80</v>
      </c>
      <c r="B47" s="281"/>
      <c r="C47" s="285" t="s">
        <v>81</v>
      </c>
      <c r="D47" s="286"/>
      <c r="E47" s="286"/>
      <c r="F47" s="286"/>
      <c r="G47" s="286"/>
      <c r="H47" s="287"/>
    </row>
    <row r="48" spans="1:9" x14ac:dyDescent="0.25">
      <c r="A48" s="289"/>
      <c r="B48" s="289"/>
      <c r="C48" s="289"/>
      <c r="D48" s="289"/>
      <c r="E48" s="289"/>
      <c r="F48" s="289"/>
      <c r="G48" s="289"/>
      <c r="H48" s="289"/>
    </row>
    <row r="49" spans="1:8" ht="34.5" customHeight="1" x14ac:dyDescent="0.25">
      <c r="A49" s="288" t="s">
        <v>82</v>
      </c>
      <c r="B49" s="288"/>
      <c r="C49" s="288"/>
      <c r="D49" s="288"/>
      <c r="E49" s="288"/>
      <c r="F49" s="288"/>
      <c r="G49" s="288"/>
      <c r="H49" s="288"/>
    </row>
    <row r="50" spans="1:8" ht="44.25" customHeight="1" x14ac:dyDescent="0.25">
      <c r="A50" s="281" t="s">
        <v>83</v>
      </c>
      <c r="B50" s="281"/>
      <c r="C50" s="285" t="s">
        <v>84</v>
      </c>
      <c r="D50" s="286"/>
      <c r="E50" s="286"/>
      <c r="F50" s="286"/>
      <c r="G50" s="286"/>
      <c r="H50" s="287"/>
    </row>
    <row r="51" spans="1:8" ht="90" customHeight="1" x14ac:dyDescent="0.25">
      <c r="A51" s="281" t="s">
        <v>85</v>
      </c>
      <c r="B51" s="281"/>
      <c r="C51" s="295" t="s">
        <v>86</v>
      </c>
      <c r="D51" s="286"/>
      <c r="E51" s="286"/>
      <c r="F51" s="286"/>
      <c r="G51" s="286"/>
      <c r="H51" s="287"/>
    </row>
    <row r="52" spans="1:8" ht="40.5" customHeight="1" x14ac:dyDescent="0.25">
      <c r="A52" s="281" t="s">
        <v>87</v>
      </c>
      <c r="B52" s="281"/>
      <c r="C52" s="285" t="s">
        <v>88</v>
      </c>
      <c r="D52" s="286"/>
      <c r="E52" s="286"/>
      <c r="F52" s="286"/>
      <c r="G52" s="286"/>
      <c r="H52" s="287"/>
    </row>
    <row r="53" spans="1:8" ht="32.25" customHeight="1" x14ac:dyDescent="0.25">
      <c r="A53" s="281" t="s">
        <v>89</v>
      </c>
      <c r="B53" s="281"/>
      <c r="C53" s="285" t="s">
        <v>90</v>
      </c>
      <c r="D53" s="286"/>
      <c r="E53" s="286"/>
      <c r="F53" s="286"/>
      <c r="G53" s="286"/>
      <c r="H53" s="287"/>
    </row>
    <row r="54" spans="1:8" ht="51.75" customHeight="1" x14ac:dyDescent="0.25">
      <c r="A54" s="277" t="s">
        <v>91</v>
      </c>
      <c r="B54" s="277"/>
      <c r="C54" s="285" t="s">
        <v>92</v>
      </c>
      <c r="D54" s="286"/>
      <c r="E54" s="286"/>
      <c r="F54" s="286"/>
      <c r="G54" s="286"/>
      <c r="H54" s="287"/>
    </row>
    <row r="55" spans="1:8" ht="65.25" customHeight="1" x14ac:dyDescent="0.25">
      <c r="A55" s="277" t="s">
        <v>93</v>
      </c>
      <c r="B55" s="277"/>
      <c r="C55" s="285" t="s">
        <v>94</v>
      </c>
      <c r="D55" s="286"/>
      <c r="E55" s="286"/>
      <c r="F55" s="286"/>
      <c r="G55" s="286"/>
      <c r="H55" s="287"/>
    </row>
    <row r="56" spans="1:8" ht="40.5" customHeight="1" x14ac:dyDescent="0.25">
      <c r="A56" s="277" t="s">
        <v>95</v>
      </c>
      <c r="B56" s="277"/>
      <c r="C56" s="285" t="s">
        <v>96</v>
      </c>
      <c r="D56" s="286"/>
      <c r="E56" s="286"/>
      <c r="F56" s="286"/>
      <c r="G56" s="286"/>
      <c r="H56" s="287"/>
    </row>
    <row r="57" spans="1:8" ht="60" customHeight="1" x14ac:dyDescent="0.25">
      <c r="A57" s="277" t="s">
        <v>97</v>
      </c>
      <c r="B57" s="277"/>
      <c r="C57" s="285" t="s">
        <v>98</v>
      </c>
      <c r="D57" s="286"/>
      <c r="E57" s="286"/>
      <c r="F57" s="286"/>
      <c r="G57" s="286"/>
      <c r="H57" s="287"/>
    </row>
    <row r="58" spans="1:8" ht="51.75" customHeight="1" x14ac:dyDescent="0.25">
      <c r="A58" s="277" t="s">
        <v>99</v>
      </c>
      <c r="B58" s="277"/>
      <c r="C58" s="285" t="s">
        <v>100</v>
      </c>
      <c r="D58" s="286"/>
      <c r="E58" s="286"/>
      <c r="F58" s="286"/>
      <c r="G58" s="286"/>
      <c r="H58" s="287"/>
    </row>
    <row r="59" spans="1:8" ht="54.75" customHeight="1" x14ac:dyDescent="0.25">
      <c r="A59" s="278" t="s">
        <v>101</v>
      </c>
      <c r="B59" s="278"/>
      <c r="C59" s="285" t="s">
        <v>102</v>
      </c>
      <c r="D59" s="286"/>
      <c r="E59" s="286"/>
      <c r="F59" s="286"/>
      <c r="G59" s="286"/>
      <c r="H59" s="287"/>
    </row>
    <row r="61" spans="1:8" s="20" customFormat="1" ht="182.25" customHeight="1" x14ac:dyDescent="0.25">
      <c r="A61" s="290" t="s">
        <v>103</v>
      </c>
      <c r="B61" s="291"/>
      <c r="C61" s="291"/>
      <c r="D61" s="291"/>
      <c r="E61" s="291"/>
      <c r="F61" s="291"/>
      <c r="G61" s="291"/>
      <c r="H61" s="291"/>
    </row>
    <row r="62" spans="1:8" s="20" customFormat="1" ht="64.5" customHeight="1" x14ac:dyDescent="0.25">
      <c r="A62" s="279" t="s">
        <v>104</v>
      </c>
      <c r="B62" s="279"/>
      <c r="C62" s="295" t="s">
        <v>105</v>
      </c>
      <c r="D62" s="296"/>
      <c r="E62" s="296"/>
      <c r="F62" s="296"/>
      <c r="G62" s="296"/>
      <c r="H62" s="297"/>
    </row>
    <row r="63" spans="1:8" s="20" customFormat="1" ht="69.75" customHeight="1" x14ac:dyDescent="0.25">
      <c r="A63" s="279" t="s">
        <v>106</v>
      </c>
      <c r="B63" s="279"/>
      <c r="C63" s="295" t="s">
        <v>107</v>
      </c>
      <c r="D63" s="296"/>
      <c r="E63" s="296"/>
      <c r="F63" s="296"/>
      <c r="G63" s="296"/>
      <c r="H63" s="297"/>
    </row>
  </sheetData>
  <mergeCells count="88">
    <mergeCell ref="C43:H43"/>
    <mergeCell ref="C54:H54"/>
    <mergeCell ref="C55:H55"/>
    <mergeCell ref="C56:H56"/>
    <mergeCell ref="C63:H63"/>
    <mergeCell ref="C44:H44"/>
    <mergeCell ref="C50:H50"/>
    <mergeCell ref="C51:H51"/>
    <mergeCell ref="C52:H52"/>
    <mergeCell ref="C53:H53"/>
    <mergeCell ref="C57:H57"/>
    <mergeCell ref="C58:H58"/>
    <mergeCell ref="C59:H59"/>
    <mergeCell ref="C62:H6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B18:H18"/>
    <mergeCell ref="B19:H19"/>
    <mergeCell ref="C37:H37"/>
    <mergeCell ref="C38:H38"/>
    <mergeCell ref="C39:H39"/>
    <mergeCell ref="B25:I25"/>
    <mergeCell ref="B26:I26"/>
    <mergeCell ref="B27:I27"/>
    <mergeCell ref="B20:H20"/>
    <mergeCell ref="B21:H21"/>
    <mergeCell ref="A24:I24"/>
    <mergeCell ref="A22:I22"/>
    <mergeCell ref="A29:I29"/>
    <mergeCell ref="C40:H40"/>
    <mergeCell ref="A63:B63"/>
    <mergeCell ref="A61:H61"/>
    <mergeCell ref="B28:I28"/>
    <mergeCell ref="A35:B35"/>
    <mergeCell ref="A30:I30"/>
    <mergeCell ref="A31:B31"/>
    <mergeCell ref="A32:B32"/>
    <mergeCell ref="A33:B33"/>
    <mergeCell ref="A34:B34"/>
    <mergeCell ref="C34:H34"/>
    <mergeCell ref="C31:H31"/>
    <mergeCell ref="C32:H32"/>
    <mergeCell ref="A54:B54"/>
    <mergeCell ref="A55:B55"/>
    <mergeCell ref="A43:B43"/>
    <mergeCell ref="A44:B44"/>
    <mergeCell ref="A45:B45"/>
    <mergeCell ref="A46:B46"/>
    <mergeCell ref="A47:B47"/>
    <mergeCell ref="A49:H49"/>
    <mergeCell ref="C45:H45"/>
    <mergeCell ref="C46:H46"/>
    <mergeCell ref="C47:H47"/>
    <mergeCell ref="A48:H48"/>
    <mergeCell ref="A1:I1"/>
    <mergeCell ref="A50:B50"/>
    <mergeCell ref="A51:B51"/>
    <mergeCell ref="A52:B52"/>
    <mergeCell ref="A53:B53"/>
    <mergeCell ref="A36:B36"/>
    <mergeCell ref="A37:B37"/>
    <mergeCell ref="A38:B38"/>
    <mergeCell ref="A39:B39"/>
    <mergeCell ref="A40:B40"/>
    <mergeCell ref="A42:H42"/>
    <mergeCell ref="A23:I23"/>
    <mergeCell ref="A2:I2"/>
    <mergeCell ref="C33:H33"/>
    <mergeCell ref="C35:H35"/>
    <mergeCell ref="C36:H36"/>
    <mergeCell ref="A56:B56"/>
    <mergeCell ref="A57:B57"/>
    <mergeCell ref="A58:B58"/>
    <mergeCell ref="A59:B59"/>
    <mergeCell ref="A62:B6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EL116"/>
  <sheetViews>
    <sheetView tabSelected="1" topLeftCell="I6" zoomScale="40" zoomScaleNormal="40" workbookViewId="0">
      <pane xSplit="11" ySplit="3" topLeftCell="U89" activePane="bottomRight" state="frozen"/>
      <selection pane="topRight" activeCell="S6" sqref="S6"/>
      <selection pane="bottomLeft" activeCell="I9" sqref="I9"/>
      <selection pane="bottomRight" activeCell="U90" sqref="U90"/>
    </sheetView>
  </sheetViews>
  <sheetFormatPr baseColWidth="10" defaultColWidth="11.42578125" defaultRowHeight="50.25" customHeight="1" x14ac:dyDescent="0.4"/>
  <cols>
    <col min="1" max="1" width="26.5703125" style="27" customWidth="1"/>
    <col min="2" max="2" width="16.5703125" style="27" customWidth="1"/>
    <col min="3" max="3" width="21.5703125" style="27" customWidth="1"/>
    <col min="4" max="4" width="20.28515625" style="27" customWidth="1"/>
    <col min="5" max="5" width="23.28515625" style="27" customWidth="1"/>
    <col min="6" max="6" width="21" style="27" customWidth="1"/>
    <col min="7" max="7" width="25.42578125" style="27" customWidth="1"/>
    <col min="8" max="8" width="21.7109375" style="27" customWidth="1"/>
    <col min="9" max="9" width="38.5703125" style="27" customWidth="1"/>
    <col min="10" max="10" width="40.85546875" style="27" customWidth="1"/>
    <col min="11" max="11" width="63" style="27" customWidth="1"/>
    <col min="12" max="12" width="54.7109375" style="27" hidden="1" customWidth="1"/>
    <col min="13" max="13" width="39.140625" style="27" hidden="1" customWidth="1"/>
    <col min="14" max="14" width="20" style="235" hidden="1" customWidth="1"/>
    <col min="15" max="15" width="70.5703125" style="49" customWidth="1"/>
    <col min="16" max="16" width="14" style="49" customWidth="1"/>
    <col min="17" max="17" width="24" style="49" customWidth="1"/>
    <col min="18" max="18" width="138.7109375" style="49" customWidth="1"/>
    <col min="19" max="19" width="8.28515625" style="49" customWidth="1"/>
    <col min="20" max="20" width="33.42578125" style="50" customWidth="1"/>
    <col min="21" max="21" width="59.7109375" style="51" customWidth="1"/>
    <col min="22" max="22" width="62.140625" style="51" hidden="1" customWidth="1"/>
    <col min="23" max="23" width="42.140625" style="51" hidden="1" customWidth="1"/>
    <col min="24" max="24" width="34.28515625" style="51" hidden="1" customWidth="1"/>
    <col min="25" max="25" width="38.42578125" style="51" hidden="1" customWidth="1"/>
    <col min="26" max="26" width="35.85546875" style="51" hidden="1" customWidth="1"/>
    <col min="27" max="27" width="41.42578125" style="51" hidden="1" customWidth="1"/>
    <col min="28" max="28" width="28.85546875" style="51" customWidth="1"/>
    <col min="29" max="30" width="23" style="51" customWidth="1"/>
    <col min="31" max="31" width="44.140625" style="51" customWidth="1"/>
    <col min="32" max="32" width="35.85546875" style="51" customWidth="1"/>
    <col min="33" max="33" width="41.42578125" style="51" customWidth="1"/>
    <col min="34" max="34" width="44.140625" style="51" customWidth="1"/>
    <col min="35" max="35" width="35.85546875" style="51" customWidth="1"/>
    <col min="36" max="36" width="41.42578125" style="51" customWidth="1"/>
    <col min="37" max="37" width="29.7109375" style="50" hidden="1" customWidth="1"/>
    <col min="38" max="38" width="28.28515625" style="52" hidden="1" customWidth="1"/>
    <col min="39" max="39" width="28.5703125" style="53" hidden="1" customWidth="1"/>
    <col min="40" max="40" width="30" style="54" hidden="1" customWidth="1"/>
    <col min="41" max="41" width="20.85546875" style="54" hidden="1" customWidth="1"/>
    <col min="42" max="42" width="28.28515625" style="55" hidden="1" customWidth="1"/>
    <col min="43" max="43" width="22.85546875" style="55" hidden="1" customWidth="1"/>
    <col min="44" max="44" width="30.5703125" style="133" hidden="1" customWidth="1"/>
    <col min="45" max="45" width="26" style="27" hidden="1" customWidth="1"/>
    <col min="46" max="46" width="48" style="27" hidden="1" customWidth="1"/>
    <col min="47" max="47" width="50.85546875" style="56" hidden="1" customWidth="1"/>
    <col min="48" max="48" width="44.85546875" style="57" hidden="1" customWidth="1"/>
    <col min="49" max="49" width="56" style="58" hidden="1" customWidth="1"/>
    <col min="50" max="50" width="52.28515625" style="27" hidden="1" customWidth="1"/>
    <col min="51" max="51" width="38.7109375" style="27" bestFit="1" customWidth="1"/>
    <col min="52" max="52" width="33.42578125" style="27" bestFit="1" customWidth="1"/>
    <col min="53" max="53" width="77.140625" style="27" bestFit="1" customWidth="1"/>
    <col min="54" max="54" width="74.85546875" style="27" bestFit="1" customWidth="1"/>
    <col min="55" max="55" width="49.7109375" style="27" bestFit="1" customWidth="1"/>
    <col min="56" max="56" width="86" style="27" bestFit="1" customWidth="1"/>
    <col min="57" max="57" width="83.42578125" style="27" bestFit="1" customWidth="1"/>
    <col min="58" max="58" width="58.28515625" style="27" bestFit="1" customWidth="1"/>
    <col min="59" max="59" width="77.85546875" style="27" bestFit="1" customWidth="1"/>
    <col min="60" max="60" width="76.7109375" style="27" bestFit="1" customWidth="1"/>
    <col min="61" max="61" width="52.7109375" style="27" bestFit="1" customWidth="1"/>
    <col min="62" max="62" width="82.7109375" style="27" bestFit="1" customWidth="1"/>
    <col min="63" max="63" width="81.5703125" style="27" bestFit="1" customWidth="1"/>
    <col min="64" max="64" width="57.5703125" style="27" bestFit="1" customWidth="1"/>
    <col min="65" max="65" width="39.85546875" style="27" customWidth="1"/>
    <col min="66" max="66" width="38.42578125" style="27" customWidth="1"/>
    <col min="67" max="67" width="28.42578125" style="27" customWidth="1"/>
    <col min="68" max="68" width="25.42578125" style="39" customWidth="1"/>
    <col min="69" max="69" width="24.7109375" style="39" customWidth="1"/>
    <col min="70" max="70" width="23.28515625" style="39" customWidth="1"/>
    <col min="71" max="71" width="45.85546875" style="39" customWidth="1"/>
    <col min="72" max="72" width="27" style="39" customWidth="1"/>
    <col min="73" max="73" width="25.85546875" style="39" customWidth="1"/>
    <col min="74" max="74" width="22.85546875" style="39" customWidth="1"/>
    <col min="75" max="75" width="63.28515625" style="39" hidden="1" customWidth="1"/>
    <col min="76" max="76" width="58.42578125" style="39" hidden="1" customWidth="1"/>
    <col min="77" max="77" width="35.140625" style="39" hidden="1" customWidth="1"/>
    <col min="78" max="78" width="72" style="39" hidden="1" customWidth="1"/>
    <col min="79" max="79" width="107.7109375" style="39" hidden="1" customWidth="1"/>
    <col min="80" max="80" width="58" style="39" hidden="1" customWidth="1"/>
    <col min="81" max="82" width="35.140625" style="39" hidden="1" customWidth="1"/>
    <col min="83" max="83" width="60.5703125" style="39" hidden="1" customWidth="1"/>
    <col min="84" max="84" width="58.140625" style="39" hidden="1" customWidth="1"/>
    <col min="85" max="85" width="46.140625" style="39" hidden="1" customWidth="1"/>
    <col min="86" max="86" width="65.85546875" style="39" hidden="1" customWidth="1"/>
    <col min="87" max="87" width="58.5703125" style="39" hidden="1" customWidth="1"/>
    <col min="88" max="88" width="72.28515625" style="39" hidden="1" customWidth="1"/>
    <col min="89" max="89" width="65.85546875" style="39" hidden="1" customWidth="1"/>
    <col min="90" max="90" width="58.5703125" style="39" hidden="1" customWidth="1"/>
    <col min="91" max="91" width="72.28515625" style="39" hidden="1" customWidth="1"/>
    <col min="92" max="92" width="58.28515625" style="39" hidden="1" customWidth="1"/>
    <col min="93" max="93" width="62.42578125" style="39" hidden="1" customWidth="1"/>
    <col min="94" max="94" width="72.28515625" style="39" hidden="1" customWidth="1"/>
    <col min="95" max="95" width="58.28515625" style="39" hidden="1" customWidth="1"/>
    <col min="96" max="96" width="62.42578125" style="39" hidden="1" customWidth="1"/>
    <col min="97" max="97" width="72.28515625" style="39" hidden="1" customWidth="1"/>
    <col min="98" max="98" width="62.42578125" style="39" hidden="1" customWidth="1"/>
    <col min="99" max="99" width="62.42578125" style="39" customWidth="1"/>
    <col min="100" max="100" width="72.28515625" style="39" customWidth="1"/>
    <col min="101" max="101" width="43.42578125" style="39" customWidth="1"/>
    <col min="102" max="102" width="43.85546875" style="39" customWidth="1"/>
    <col min="103" max="103" width="51.85546875" style="39" customWidth="1"/>
    <col min="104" max="104" width="58.7109375" style="39" customWidth="1"/>
    <col min="105" max="105" width="51.5703125" style="39" customWidth="1"/>
    <col min="106" max="106" width="49.42578125" style="39" customWidth="1"/>
    <col min="107" max="108" width="40.42578125" style="39" customWidth="1"/>
    <col min="109" max="109" width="43.42578125" style="39" customWidth="1"/>
    <col min="110" max="110" width="43.85546875" style="39" customWidth="1"/>
    <col min="111" max="111" width="51.85546875" style="39" customWidth="1"/>
    <col min="112" max="112" width="66.140625" style="39" customWidth="1"/>
    <col min="113" max="113" width="63.28515625" style="39" customWidth="1"/>
    <col min="114" max="117" width="51.85546875" style="39" customWidth="1"/>
    <col min="118" max="118" width="28.28515625" style="27" customWidth="1"/>
    <col min="119" max="119" width="74" style="27" customWidth="1"/>
    <col min="120" max="120" width="40.5703125" style="27" customWidth="1"/>
    <col min="121" max="121" width="18.85546875" style="39" customWidth="1"/>
    <col min="122" max="122" width="44.42578125" style="27" bestFit="1" customWidth="1"/>
    <col min="123" max="123" width="82.7109375" style="27" hidden="1" customWidth="1"/>
    <col min="124" max="128" width="255.5703125" style="27" hidden="1" customWidth="1"/>
    <col min="129" max="131" width="255.5703125" style="27" customWidth="1"/>
    <col min="132" max="132" width="204.140625" style="27" customWidth="1"/>
    <col min="133" max="134" width="255.5703125" style="27" customWidth="1"/>
    <col min="135" max="135" width="43.7109375" style="27" customWidth="1"/>
    <col min="136" max="136" width="44.140625" style="27" customWidth="1"/>
    <col min="137" max="16384" width="11.42578125" style="27"/>
  </cols>
  <sheetData>
    <row r="1" spans="1:136" ht="50.25" customHeight="1" x14ac:dyDescent="0.4">
      <c r="B1" s="643" t="s">
        <v>108</v>
      </c>
      <c r="C1" s="643"/>
      <c r="D1" s="647" t="s">
        <v>109</v>
      </c>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c r="AF1" s="673"/>
      <c r="AG1" s="673"/>
      <c r="AH1" s="673"/>
      <c r="AI1" s="673"/>
      <c r="AJ1" s="673"/>
      <c r="AK1" s="673"/>
      <c r="AL1" s="673"/>
      <c r="AM1" s="673"/>
      <c r="AN1" s="673"/>
      <c r="AO1" s="673"/>
      <c r="AP1" s="673"/>
      <c r="AQ1" s="673"/>
      <c r="AR1" s="673"/>
      <c r="AS1" s="673"/>
      <c r="AT1" s="673"/>
      <c r="AU1" s="673"/>
      <c r="AV1" s="673"/>
      <c r="AW1" s="673"/>
      <c r="AX1" s="673"/>
      <c r="AY1" s="673"/>
      <c r="AZ1" s="673"/>
      <c r="BA1" s="673"/>
      <c r="BB1" s="673"/>
      <c r="BC1" s="673"/>
      <c r="BD1" s="673"/>
      <c r="BE1" s="673"/>
      <c r="BF1" s="673"/>
      <c r="BG1" s="673"/>
      <c r="BH1" s="673"/>
      <c r="BI1" s="673"/>
      <c r="BJ1" s="673"/>
      <c r="BK1" s="673"/>
      <c r="BL1" s="673"/>
      <c r="BM1" s="673"/>
      <c r="BN1" s="673"/>
      <c r="BO1" s="673"/>
      <c r="BP1" s="673"/>
      <c r="BQ1" s="673"/>
      <c r="BR1" s="673"/>
      <c r="BS1" s="673"/>
      <c r="BT1" s="673"/>
      <c r="BU1" s="673"/>
      <c r="BV1" s="673"/>
      <c r="BW1" s="673"/>
      <c r="BX1" s="673"/>
      <c r="BY1" s="673"/>
      <c r="BZ1" s="673"/>
      <c r="CA1" s="673"/>
      <c r="CB1" s="673"/>
      <c r="CC1" s="673"/>
      <c r="CD1" s="673"/>
      <c r="CE1" s="673"/>
      <c r="CF1" s="673"/>
      <c r="CG1" s="673"/>
      <c r="CH1" s="673"/>
      <c r="CI1" s="673"/>
      <c r="CJ1" s="673"/>
      <c r="CK1" s="673"/>
      <c r="CL1" s="673"/>
      <c r="CM1" s="673"/>
      <c r="CN1" s="673"/>
      <c r="CO1" s="673"/>
      <c r="CP1" s="673"/>
      <c r="CQ1" s="673"/>
      <c r="CR1" s="673"/>
      <c r="CS1" s="673"/>
      <c r="CT1" s="673"/>
      <c r="CU1" s="673"/>
      <c r="CV1" s="673"/>
      <c r="CW1" s="673"/>
      <c r="CX1" s="673"/>
      <c r="CY1" s="673"/>
      <c r="CZ1" s="673"/>
      <c r="DA1" s="673"/>
      <c r="DB1" s="673"/>
      <c r="DC1" s="673"/>
      <c r="DD1" s="673"/>
      <c r="DE1" s="673"/>
      <c r="DF1" s="673"/>
      <c r="DG1" s="673"/>
      <c r="DH1" s="673"/>
      <c r="DI1" s="673"/>
      <c r="DJ1" s="673"/>
      <c r="DK1" s="673"/>
      <c r="DL1" s="673"/>
      <c r="DM1" s="673"/>
      <c r="DN1" s="648"/>
      <c r="DO1" s="685" t="s">
        <v>110</v>
      </c>
      <c r="DP1" s="685"/>
      <c r="DQ1" s="685"/>
      <c r="DR1" s="685"/>
      <c r="DS1" s="685"/>
      <c r="DT1" s="685"/>
      <c r="DU1" s="685"/>
      <c r="DV1" s="685"/>
      <c r="DW1" s="685"/>
      <c r="DX1" s="685"/>
      <c r="DY1" s="685"/>
      <c r="DZ1" s="685"/>
      <c r="EA1" s="685"/>
      <c r="EB1" s="685"/>
      <c r="EC1" s="685"/>
      <c r="ED1" s="685"/>
      <c r="EE1" s="685"/>
      <c r="EF1" s="685"/>
    </row>
    <row r="2" spans="1:136" ht="50.25" customHeight="1" x14ac:dyDescent="0.4">
      <c r="B2" s="643"/>
      <c r="C2" s="643"/>
      <c r="D2" s="647" t="s">
        <v>111</v>
      </c>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3"/>
      <c r="BE2" s="673"/>
      <c r="BF2" s="673"/>
      <c r="BG2" s="673"/>
      <c r="BH2" s="673"/>
      <c r="BI2" s="673"/>
      <c r="BJ2" s="673"/>
      <c r="BK2" s="673"/>
      <c r="BL2" s="673"/>
      <c r="BM2" s="673"/>
      <c r="BN2" s="673"/>
      <c r="BO2" s="673"/>
      <c r="BP2" s="673"/>
      <c r="BQ2" s="673"/>
      <c r="BR2" s="673"/>
      <c r="BS2" s="673"/>
      <c r="BT2" s="673"/>
      <c r="BU2" s="673"/>
      <c r="BV2" s="673"/>
      <c r="BW2" s="673"/>
      <c r="BX2" s="673"/>
      <c r="BY2" s="673"/>
      <c r="BZ2" s="673"/>
      <c r="CA2" s="673"/>
      <c r="CB2" s="673"/>
      <c r="CC2" s="673"/>
      <c r="CD2" s="673"/>
      <c r="CE2" s="673"/>
      <c r="CF2" s="673"/>
      <c r="CG2" s="673"/>
      <c r="CH2" s="673"/>
      <c r="CI2" s="673"/>
      <c r="CJ2" s="673"/>
      <c r="CK2" s="673"/>
      <c r="CL2" s="673"/>
      <c r="CM2" s="673"/>
      <c r="CN2" s="673"/>
      <c r="CO2" s="673"/>
      <c r="CP2" s="673"/>
      <c r="CQ2" s="673"/>
      <c r="CR2" s="673"/>
      <c r="CS2" s="673"/>
      <c r="CT2" s="673"/>
      <c r="CU2" s="673"/>
      <c r="CV2" s="673"/>
      <c r="CW2" s="673"/>
      <c r="CX2" s="673"/>
      <c r="CY2" s="673"/>
      <c r="CZ2" s="673"/>
      <c r="DA2" s="673"/>
      <c r="DB2" s="673"/>
      <c r="DC2" s="673"/>
      <c r="DD2" s="673"/>
      <c r="DE2" s="673"/>
      <c r="DF2" s="673"/>
      <c r="DG2" s="673"/>
      <c r="DH2" s="673"/>
      <c r="DI2" s="673"/>
      <c r="DJ2" s="673"/>
      <c r="DK2" s="673"/>
      <c r="DL2" s="673"/>
      <c r="DM2" s="673"/>
      <c r="DN2" s="648"/>
      <c r="DO2" s="685" t="s">
        <v>112</v>
      </c>
      <c r="DP2" s="685"/>
      <c r="DQ2" s="685"/>
      <c r="DR2" s="685"/>
      <c r="DS2" s="685"/>
      <c r="DT2" s="685"/>
      <c r="DU2" s="685"/>
      <c r="DV2" s="685"/>
      <c r="DW2" s="685"/>
      <c r="DX2" s="685"/>
      <c r="DY2" s="685"/>
      <c r="DZ2" s="685"/>
      <c r="EA2" s="685"/>
      <c r="EB2" s="685"/>
      <c r="EC2" s="685"/>
      <c r="ED2" s="685"/>
      <c r="EE2" s="685"/>
      <c r="EF2" s="685"/>
    </row>
    <row r="3" spans="1:136" ht="50.25" customHeight="1" x14ac:dyDescent="0.4">
      <c r="B3" s="643"/>
      <c r="C3" s="643"/>
      <c r="D3" s="647" t="s">
        <v>113</v>
      </c>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673"/>
      <c r="AX3" s="673"/>
      <c r="AY3" s="673"/>
      <c r="AZ3" s="673"/>
      <c r="BA3" s="673"/>
      <c r="BB3" s="673"/>
      <c r="BC3" s="673"/>
      <c r="BD3" s="673"/>
      <c r="BE3" s="673"/>
      <c r="BF3" s="673"/>
      <c r="BG3" s="673"/>
      <c r="BH3" s="673"/>
      <c r="BI3" s="673"/>
      <c r="BJ3" s="673"/>
      <c r="BK3" s="673"/>
      <c r="BL3" s="673"/>
      <c r="BM3" s="673"/>
      <c r="BN3" s="673"/>
      <c r="BO3" s="673"/>
      <c r="BP3" s="673"/>
      <c r="BQ3" s="673"/>
      <c r="BR3" s="673"/>
      <c r="BS3" s="673"/>
      <c r="BT3" s="673"/>
      <c r="BU3" s="673"/>
      <c r="BV3" s="673"/>
      <c r="BW3" s="673"/>
      <c r="BX3" s="673"/>
      <c r="BY3" s="673"/>
      <c r="BZ3" s="673"/>
      <c r="CA3" s="673"/>
      <c r="CB3" s="673"/>
      <c r="CC3" s="673"/>
      <c r="CD3" s="673"/>
      <c r="CE3" s="673"/>
      <c r="CF3" s="673"/>
      <c r="CG3" s="673"/>
      <c r="CH3" s="673"/>
      <c r="CI3" s="673"/>
      <c r="CJ3" s="673"/>
      <c r="CK3" s="673"/>
      <c r="CL3" s="673"/>
      <c r="CM3" s="673"/>
      <c r="CN3" s="673"/>
      <c r="CO3" s="673"/>
      <c r="CP3" s="673"/>
      <c r="CQ3" s="673"/>
      <c r="CR3" s="673"/>
      <c r="CS3" s="673"/>
      <c r="CT3" s="673"/>
      <c r="CU3" s="673"/>
      <c r="CV3" s="673"/>
      <c r="CW3" s="673"/>
      <c r="CX3" s="673"/>
      <c r="CY3" s="673"/>
      <c r="CZ3" s="673"/>
      <c r="DA3" s="673"/>
      <c r="DB3" s="673"/>
      <c r="DC3" s="673"/>
      <c r="DD3" s="673"/>
      <c r="DE3" s="673"/>
      <c r="DF3" s="673"/>
      <c r="DG3" s="673"/>
      <c r="DH3" s="673"/>
      <c r="DI3" s="673"/>
      <c r="DJ3" s="673"/>
      <c r="DK3" s="673"/>
      <c r="DL3" s="673"/>
      <c r="DM3" s="673"/>
      <c r="DN3" s="648"/>
      <c r="DO3" s="685" t="s">
        <v>114</v>
      </c>
      <c r="DP3" s="685"/>
      <c r="DQ3" s="685"/>
      <c r="DR3" s="685"/>
      <c r="DS3" s="685"/>
      <c r="DT3" s="685"/>
      <c r="DU3" s="685"/>
      <c r="DV3" s="685"/>
      <c r="DW3" s="685"/>
      <c r="DX3" s="685"/>
      <c r="DY3" s="685"/>
      <c r="DZ3" s="685"/>
      <c r="EA3" s="685"/>
      <c r="EB3" s="685"/>
      <c r="EC3" s="685"/>
      <c r="ED3" s="685"/>
      <c r="EE3" s="685"/>
      <c r="EF3" s="685"/>
    </row>
    <row r="4" spans="1:136" ht="50.25" customHeight="1" x14ac:dyDescent="0.4">
      <c r="B4" s="643"/>
      <c r="C4" s="643"/>
      <c r="D4" s="647" t="s">
        <v>115</v>
      </c>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673"/>
      <c r="AO4" s="673"/>
      <c r="AP4" s="673"/>
      <c r="AQ4" s="673"/>
      <c r="AR4" s="673"/>
      <c r="AS4" s="673"/>
      <c r="AT4" s="673"/>
      <c r="AU4" s="673"/>
      <c r="AV4" s="673"/>
      <c r="AW4" s="673"/>
      <c r="AX4" s="673"/>
      <c r="AY4" s="673"/>
      <c r="AZ4" s="673"/>
      <c r="BA4" s="673"/>
      <c r="BB4" s="673"/>
      <c r="BC4" s="673"/>
      <c r="BD4" s="673"/>
      <c r="BE4" s="673"/>
      <c r="BF4" s="673"/>
      <c r="BG4" s="673"/>
      <c r="BH4" s="673"/>
      <c r="BI4" s="673"/>
      <c r="BJ4" s="673"/>
      <c r="BK4" s="673"/>
      <c r="BL4" s="673"/>
      <c r="BM4" s="673"/>
      <c r="BN4" s="673"/>
      <c r="BO4" s="673"/>
      <c r="BP4" s="673"/>
      <c r="BQ4" s="673"/>
      <c r="BR4" s="673"/>
      <c r="BS4" s="673"/>
      <c r="BT4" s="673"/>
      <c r="BU4" s="673"/>
      <c r="BV4" s="673"/>
      <c r="BW4" s="673"/>
      <c r="BX4" s="673"/>
      <c r="BY4" s="673"/>
      <c r="BZ4" s="673"/>
      <c r="CA4" s="673"/>
      <c r="CB4" s="673"/>
      <c r="CC4" s="673"/>
      <c r="CD4" s="673"/>
      <c r="CE4" s="673"/>
      <c r="CF4" s="673"/>
      <c r="CG4" s="673"/>
      <c r="CH4" s="673"/>
      <c r="CI4" s="673"/>
      <c r="CJ4" s="673"/>
      <c r="CK4" s="673"/>
      <c r="CL4" s="673"/>
      <c r="CM4" s="673"/>
      <c r="CN4" s="673"/>
      <c r="CO4" s="673"/>
      <c r="CP4" s="673"/>
      <c r="CQ4" s="673"/>
      <c r="CR4" s="673"/>
      <c r="CS4" s="673"/>
      <c r="CT4" s="673"/>
      <c r="CU4" s="673"/>
      <c r="CV4" s="673"/>
      <c r="CW4" s="673"/>
      <c r="CX4" s="673"/>
      <c r="CY4" s="673"/>
      <c r="CZ4" s="673"/>
      <c r="DA4" s="673"/>
      <c r="DB4" s="673"/>
      <c r="DC4" s="673"/>
      <c r="DD4" s="673"/>
      <c r="DE4" s="673"/>
      <c r="DF4" s="673"/>
      <c r="DG4" s="673"/>
      <c r="DH4" s="673"/>
      <c r="DI4" s="673"/>
      <c r="DJ4" s="673"/>
      <c r="DK4" s="673"/>
      <c r="DL4" s="673"/>
      <c r="DM4" s="673"/>
      <c r="DN4" s="648"/>
      <c r="DO4" s="685" t="s">
        <v>116</v>
      </c>
      <c r="DP4" s="685"/>
      <c r="DQ4" s="685"/>
      <c r="DR4" s="685"/>
      <c r="DS4" s="685"/>
      <c r="DT4" s="685"/>
      <c r="DU4" s="685"/>
      <c r="DV4" s="685"/>
      <c r="DW4" s="685"/>
      <c r="DX4" s="685"/>
      <c r="DY4" s="685"/>
      <c r="DZ4" s="685"/>
      <c r="EA4" s="685"/>
      <c r="EB4" s="685"/>
      <c r="EC4" s="685"/>
      <c r="ED4" s="685"/>
      <c r="EE4" s="685"/>
      <c r="EF4" s="685"/>
    </row>
    <row r="5" spans="1:136" ht="50.25" customHeight="1" x14ac:dyDescent="0.4">
      <c r="B5" s="682" t="s">
        <v>117</v>
      </c>
      <c r="C5" s="682"/>
      <c r="D5" s="683"/>
      <c r="E5" s="683"/>
      <c r="F5" s="683"/>
      <c r="G5" s="683"/>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683"/>
      <c r="BA5" s="683"/>
      <c r="BB5" s="683"/>
      <c r="BC5" s="683"/>
      <c r="BD5" s="683"/>
      <c r="BE5" s="683"/>
      <c r="BF5" s="683"/>
      <c r="BG5" s="683"/>
      <c r="BH5" s="683"/>
      <c r="BI5" s="683"/>
      <c r="BJ5" s="683"/>
      <c r="BK5" s="683"/>
      <c r="BL5" s="683"/>
      <c r="BM5" s="683"/>
      <c r="BN5" s="683"/>
      <c r="BO5" s="683"/>
      <c r="BP5" s="683"/>
      <c r="BQ5" s="683"/>
      <c r="BR5" s="683"/>
      <c r="BS5" s="683"/>
      <c r="BT5" s="683"/>
      <c r="BU5" s="683"/>
      <c r="BV5" s="683"/>
      <c r="BW5" s="683"/>
      <c r="BX5" s="683"/>
      <c r="BY5" s="683"/>
      <c r="BZ5" s="683"/>
      <c r="CA5" s="683"/>
      <c r="CB5" s="683"/>
      <c r="CC5" s="683"/>
      <c r="CD5" s="683"/>
      <c r="CE5" s="683"/>
      <c r="CF5" s="683"/>
      <c r="CG5" s="683"/>
      <c r="CH5" s="683"/>
      <c r="CI5" s="683"/>
      <c r="CJ5" s="683"/>
      <c r="CK5" s="683"/>
      <c r="CL5" s="683"/>
      <c r="CM5" s="683"/>
      <c r="CN5" s="683"/>
      <c r="CO5" s="683"/>
      <c r="CP5" s="683"/>
      <c r="CQ5" s="683"/>
      <c r="CR5" s="683"/>
      <c r="CS5" s="683"/>
      <c r="CT5" s="683"/>
      <c r="CU5" s="683"/>
      <c r="CV5" s="683"/>
      <c r="CW5" s="683"/>
      <c r="CX5" s="683"/>
      <c r="CY5" s="683"/>
      <c r="CZ5" s="683"/>
      <c r="DA5" s="683"/>
      <c r="DB5" s="683"/>
      <c r="DC5" s="683"/>
      <c r="DD5" s="683"/>
      <c r="DE5" s="683"/>
      <c r="DF5" s="683"/>
      <c r="DG5" s="683"/>
      <c r="DH5" s="683"/>
      <c r="DI5" s="683"/>
      <c r="DJ5" s="683"/>
      <c r="DK5" s="683"/>
      <c r="DL5" s="683"/>
      <c r="DM5" s="683"/>
      <c r="DN5" s="683"/>
      <c r="DO5" s="684"/>
      <c r="DP5" s="686"/>
      <c r="DQ5" s="686"/>
      <c r="DR5" s="686"/>
      <c r="DS5" s="686"/>
      <c r="DT5" s="686"/>
      <c r="DU5" s="686"/>
      <c r="DV5" s="686"/>
      <c r="DW5" s="686"/>
      <c r="DX5" s="686"/>
      <c r="DY5" s="686"/>
      <c r="DZ5" s="686"/>
      <c r="EA5" s="686"/>
      <c r="EB5" s="686"/>
      <c r="EC5" s="686"/>
      <c r="ED5" s="686"/>
      <c r="EE5" s="686"/>
      <c r="EF5" s="686"/>
    </row>
    <row r="6" spans="1:136" ht="50.25" customHeight="1" x14ac:dyDescent="0.4">
      <c r="A6" s="655" t="s">
        <v>1</v>
      </c>
      <c r="B6" s="655"/>
      <c r="C6" s="655"/>
      <c r="D6" s="655"/>
      <c r="E6" s="655"/>
      <c r="F6" s="655"/>
      <c r="G6" s="655"/>
      <c r="H6" s="655"/>
      <c r="I6" s="655"/>
      <c r="J6" s="655"/>
      <c r="K6" s="655"/>
      <c r="L6" s="655"/>
      <c r="M6" s="655"/>
      <c r="N6" s="655"/>
      <c r="O6" s="655"/>
      <c r="P6" s="655"/>
      <c r="Q6" s="655"/>
      <c r="R6" s="655"/>
      <c r="S6" s="655"/>
      <c r="T6" s="655"/>
      <c r="U6" s="655"/>
      <c r="V6" s="73"/>
      <c r="W6" s="73"/>
      <c r="X6" s="73"/>
      <c r="Y6" s="73"/>
      <c r="Z6" s="73"/>
      <c r="AA6" s="73"/>
      <c r="AB6" s="73"/>
      <c r="AC6" s="73"/>
      <c r="AD6" s="73"/>
      <c r="AE6" s="73"/>
      <c r="AF6" s="73"/>
      <c r="AG6" s="73"/>
      <c r="AH6" s="73"/>
      <c r="AI6" s="73"/>
      <c r="AJ6" s="73"/>
      <c r="AK6" s="656" t="s">
        <v>118</v>
      </c>
      <c r="AL6" s="656"/>
      <c r="AM6" s="656"/>
      <c r="AN6" s="657"/>
      <c r="AO6" s="643" t="s">
        <v>50</v>
      </c>
      <c r="AP6" s="643"/>
      <c r="AQ6" s="643"/>
      <c r="AR6" s="643"/>
      <c r="AS6" s="643"/>
      <c r="AT6" s="643"/>
      <c r="AU6" s="643"/>
      <c r="AV6" s="643"/>
      <c r="AW6" s="643"/>
      <c r="AX6" s="643"/>
      <c r="AY6" s="643"/>
      <c r="AZ6" s="643"/>
      <c r="BA6" s="643"/>
      <c r="BB6" s="643"/>
      <c r="BC6" s="643"/>
      <c r="BD6" s="643"/>
      <c r="BE6" s="643"/>
      <c r="BF6" s="643"/>
      <c r="BG6" s="643"/>
      <c r="BH6" s="643"/>
      <c r="BI6" s="643"/>
      <c r="BJ6" s="643"/>
      <c r="BK6" s="643"/>
      <c r="BL6" s="643"/>
      <c r="BM6" s="643"/>
      <c r="BN6" s="643"/>
      <c r="BO6" s="643"/>
      <c r="BP6" s="643"/>
      <c r="BQ6" s="643"/>
      <c r="BR6" s="643" t="s">
        <v>71</v>
      </c>
      <c r="BS6" s="643"/>
      <c r="BT6" s="643"/>
      <c r="BU6" s="643"/>
      <c r="BV6" s="643"/>
      <c r="BW6" s="647" t="s">
        <v>119</v>
      </c>
      <c r="BX6" s="673"/>
      <c r="BY6" s="648"/>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X6" s="139"/>
      <c r="CY6" s="139"/>
      <c r="CZ6" s="267"/>
      <c r="DA6" s="267"/>
      <c r="DB6" s="267"/>
      <c r="DC6" s="267"/>
      <c r="DD6" s="267"/>
      <c r="DF6" s="139"/>
      <c r="DG6" s="139"/>
      <c r="DH6" s="267"/>
      <c r="DI6" s="267"/>
      <c r="DJ6" s="267"/>
      <c r="DK6" s="267"/>
      <c r="DL6" s="267"/>
      <c r="DM6" s="267"/>
      <c r="DN6" s="644" t="s">
        <v>82</v>
      </c>
      <c r="DO6" s="645"/>
      <c r="DP6" s="645"/>
      <c r="DQ6" s="645"/>
      <c r="DR6" s="646"/>
      <c r="DS6" s="72"/>
      <c r="DT6" s="72"/>
      <c r="DU6" s="72"/>
      <c r="DV6" s="72"/>
      <c r="DW6" s="72"/>
      <c r="DX6" s="72"/>
      <c r="DY6" s="238"/>
      <c r="DZ6" s="238"/>
      <c r="EA6" s="238"/>
      <c r="EB6" s="238"/>
      <c r="EC6" s="238"/>
      <c r="ED6" s="238"/>
      <c r="EE6" s="647" t="s">
        <v>120</v>
      </c>
      <c r="EF6" s="648"/>
    </row>
    <row r="7" spans="1:136" ht="69" customHeight="1" x14ac:dyDescent="0.4">
      <c r="A7" s="653" t="s">
        <v>2</v>
      </c>
      <c r="B7" s="580" t="s">
        <v>4</v>
      </c>
      <c r="C7" s="580" t="s">
        <v>6</v>
      </c>
      <c r="D7" s="643" t="s">
        <v>8</v>
      </c>
      <c r="E7" s="643" t="s">
        <v>10</v>
      </c>
      <c r="F7" s="643" t="s">
        <v>12</v>
      </c>
      <c r="G7" s="650" t="s">
        <v>14</v>
      </c>
      <c r="H7" s="650" t="s">
        <v>16</v>
      </c>
      <c r="I7" s="650" t="s">
        <v>18</v>
      </c>
      <c r="J7" s="769" t="s">
        <v>800</v>
      </c>
      <c r="K7" s="649" t="s">
        <v>121</v>
      </c>
      <c r="L7" s="649" t="s">
        <v>22</v>
      </c>
      <c r="M7" s="643" t="s">
        <v>24</v>
      </c>
      <c r="N7" s="649" t="s">
        <v>122</v>
      </c>
      <c r="O7" s="649" t="s">
        <v>28</v>
      </c>
      <c r="P7" s="650" t="s">
        <v>123</v>
      </c>
      <c r="Q7" s="650"/>
      <c r="R7" s="650" t="s">
        <v>32</v>
      </c>
      <c r="S7" s="649" t="s">
        <v>34</v>
      </c>
      <c r="T7" s="649" t="s">
        <v>36</v>
      </c>
      <c r="U7" s="769" t="s">
        <v>801</v>
      </c>
      <c r="V7" s="583" t="s">
        <v>124</v>
      </c>
      <c r="W7" s="583" t="s">
        <v>125</v>
      </c>
      <c r="X7" s="583" t="s">
        <v>126</v>
      </c>
      <c r="Y7" s="661" t="s">
        <v>127</v>
      </c>
      <c r="Z7" s="661" t="s">
        <v>128</v>
      </c>
      <c r="AA7" s="661" t="s">
        <v>129</v>
      </c>
      <c r="AB7" s="423" t="s">
        <v>130</v>
      </c>
      <c r="AC7" s="423" t="s">
        <v>131</v>
      </c>
      <c r="AD7" s="423" t="s">
        <v>132</v>
      </c>
      <c r="AE7" s="438" t="s">
        <v>725</v>
      </c>
      <c r="AF7" s="438" t="s">
        <v>726</v>
      </c>
      <c r="AG7" s="438" t="s">
        <v>727</v>
      </c>
      <c r="AH7" s="305" t="s">
        <v>767</v>
      </c>
      <c r="AI7" s="305" t="s">
        <v>768</v>
      </c>
      <c r="AJ7" s="305" t="s">
        <v>769</v>
      </c>
      <c r="AK7" s="658" t="s">
        <v>42</v>
      </c>
      <c r="AL7" s="658" t="s">
        <v>44</v>
      </c>
      <c r="AM7" s="658" t="s">
        <v>46</v>
      </c>
      <c r="AN7" s="658" t="s">
        <v>48</v>
      </c>
      <c r="AO7" s="649" t="s">
        <v>51</v>
      </c>
      <c r="AP7" s="643" t="s">
        <v>53</v>
      </c>
      <c r="AQ7" s="643" t="s">
        <v>55</v>
      </c>
      <c r="AR7" s="652" t="s">
        <v>57</v>
      </c>
      <c r="AS7" s="652" t="s">
        <v>59</v>
      </c>
      <c r="AT7" s="652" t="s">
        <v>61</v>
      </c>
      <c r="AU7" s="652" t="s">
        <v>63</v>
      </c>
      <c r="AV7" s="652" t="s">
        <v>65</v>
      </c>
      <c r="AW7" s="652" t="s">
        <v>67</v>
      </c>
      <c r="AX7" s="651" t="s">
        <v>69</v>
      </c>
      <c r="AY7" s="651" t="s">
        <v>72</v>
      </c>
      <c r="AZ7" s="670" t="s">
        <v>74</v>
      </c>
      <c r="BA7" s="671" t="s">
        <v>133</v>
      </c>
      <c r="BB7" s="671" t="s">
        <v>134</v>
      </c>
      <c r="BC7" s="671" t="s">
        <v>135</v>
      </c>
      <c r="BD7" s="659" t="s">
        <v>136</v>
      </c>
      <c r="BE7" s="659" t="s">
        <v>137</v>
      </c>
      <c r="BF7" s="659" t="s">
        <v>138</v>
      </c>
      <c r="BG7" s="421" t="s">
        <v>139</v>
      </c>
      <c r="BH7" s="421" t="s">
        <v>140</v>
      </c>
      <c r="BI7" s="421" t="s">
        <v>141</v>
      </c>
      <c r="BJ7" s="408" t="s">
        <v>734</v>
      </c>
      <c r="BK7" s="408" t="s">
        <v>735</v>
      </c>
      <c r="BL7" s="408" t="s">
        <v>736</v>
      </c>
      <c r="BM7" s="339" t="s">
        <v>764</v>
      </c>
      <c r="BN7" s="339" t="s">
        <v>765</v>
      </c>
      <c r="BO7" s="339" t="s">
        <v>766</v>
      </c>
      <c r="BP7" s="651" t="s">
        <v>76</v>
      </c>
      <c r="BQ7" s="651" t="s">
        <v>78</v>
      </c>
      <c r="BR7" s="651" t="s">
        <v>80</v>
      </c>
      <c r="BS7" s="669" t="s">
        <v>83</v>
      </c>
      <c r="BT7" s="669" t="s">
        <v>85</v>
      </c>
      <c r="BU7" s="651" t="s">
        <v>87</v>
      </c>
      <c r="BV7" s="651" t="s">
        <v>89</v>
      </c>
      <c r="BW7" s="663" t="s">
        <v>142</v>
      </c>
      <c r="BX7" s="663" t="s">
        <v>143</v>
      </c>
      <c r="BY7" s="663" t="s">
        <v>144</v>
      </c>
      <c r="BZ7" s="532" t="s">
        <v>145</v>
      </c>
      <c r="CA7" s="532" t="s">
        <v>146</v>
      </c>
      <c r="CB7" s="532" t="s">
        <v>147</v>
      </c>
      <c r="CC7" s="532" t="s">
        <v>148</v>
      </c>
      <c r="CD7" s="532" t="s">
        <v>149</v>
      </c>
      <c r="CE7" s="663" t="s">
        <v>150</v>
      </c>
      <c r="CF7" s="663" t="s">
        <v>151</v>
      </c>
      <c r="CG7" s="663" t="s">
        <v>152</v>
      </c>
      <c r="CH7" s="665" t="s">
        <v>153</v>
      </c>
      <c r="CI7" s="665" t="s">
        <v>154</v>
      </c>
      <c r="CJ7" s="665" t="s">
        <v>155</v>
      </c>
      <c r="CK7" s="665" t="s">
        <v>153</v>
      </c>
      <c r="CL7" s="665" t="s">
        <v>154</v>
      </c>
      <c r="CM7" s="665" t="s">
        <v>155</v>
      </c>
      <c r="CN7" s="667" t="s">
        <v>156</v>
      </c>
      <c r="CO7" s="667" t="s">
        <v>157</v>
      </c>
      <c r="CP7" s="667" t="s">
        <v>158</v>
      </c>
      <c r="CQ7" s="674" t="s">
        <v>159</v>
      </c>
      <c r="CR7" s="674" t="s">
        <v>160</v>
      </c>
      <c r="CS7" s="674" t="s">
        <v>161</v>
      </c>
      <c r="CT7" s="519" t="s">
        <v>162</v>
      </c>
      <c r="CU7" s="519" t="s">
        <v>163</v>
      </c>
      <c r="CV7" s="519" t="s">
        <v>164</v>
      </c>
      <c r="CW7" s="530" t="s">
        <v>165</v>
      </c>
      <c r="CX7" s="530" t="s">
        <v>166</v>
      </c>
      <c r="CY7" s="530" t="s">
        <v>167</v>
      </c>
      <c r="CZ7" s="532" t="s">
        <v>165</v>
      </c>
      <c r="DA7" s="532" t="s">
        <v>166</v>
      </c>
      <c r="DB7" s="532" t="s">
        <v>168</v>
      </c>
      <c r="DC7" s="532" t="s">
        <v>167</v>
      </c>
      <c r="DD7" s="532" t="s">
        <v>169</v>
      </c>
      <c r="DE7" s="440" t="s">
        <v>170</v>
      </c>
      <c r="DF7" s="440" t="s">
        <v>171</v>
      </c>
      <c r="DG7" s="440" t="s">
        <v>172</v>
      </c>
      <c r="DH7" s="406" t="s">
        <v>737</v>
      </c>
      <c r="DI7" s="406" t="s">
        <v>738</v>
      </c>
      <c r="DJ7" s="406" t="s">
        <v>739</v>
      </c>
      <c r="DK7" s="380" t="s">
        <v>761</v>
      </c>
      <c r="DL7" s="380" t="s">
        <v>762</v>
      </c>
      <c r="DM7" s="380" t="s">
        <v>763</v>
      </c>
      <c r="DN7" s="590" t="s">
        <v>91</v>
      </c>
      <c r="DO7" s="590" t="s">
        <v>93</v>
      </c>
      <c r="DP7" s="590" t="s">
        <v>95</v>
      </c>
      <c r="DQ7" s="590" t="s">
        <v>97</v>
      </c>
      <c r="DR7" s="590" t="s">
        <v>99</v>
      </c>
      <c r="DS7" s="581" t="s">
        <v>173</v>
      </c>
      <c r="DT7" s="581" t="s">
        <v>174</v>
      </c>
      <c r="DU7" s="583" t="s">
        <v>175</v>
      </c>
      <c r="DV7" s="585" t="s">
        <v>176</v>
      </c>
      <c r="DW7" s="680" t="s">
        <v>177</v>
      </c>
      <c r="DX7" s="587" t="s">
        <v>178</v>
      </c>
      <c r="DY7" s="590" t="s">
        <v>179</v>
      </c>
      <c r="DZ7" s="583" t="s">
        <v>180</v>
      </c>
      <c r="EA7" s="677" t="s">
        <v>181</v>
      </c>
      <c r="EB7" s="423" t="s">
        <v>182</v>
      </c>
      <c r="EC7" s="438" t="s">
        <v>728</v>
      </c>
      <c r="ED7" s="305" t="s">
        <v>770</v>
      </c>
      <c r="EE7" s="579" t="s">
        <v>104</v>
      </c>
      <c r="EF7" s="579" t="s">
        <v>106</v>
      </c>
    </row>
    <row r="8" spans="1:136" ht="87.75" customHeight="1" thickBot="1" x14ac:dyDescent="0.45">
      <c r="A8" s="654"/>
      <c r="B8" s="643"/>
      <c r="C8" s="643"/>
      <c r="D8" s="643"/>
      <c r="E8" s="643"/>
      <c r="F8" s="643"/>
      <c r="G8" s="650"/>
      <c r="H8" s="650"/>
      <c r="I8" s="650"/>
      <c r="J8" s="769"/>
      <c r="K8" s="649"/>
      <c r="L8" s="649"/>
      <c r="M8" s="643"/>
      <c r="N8" s="649"/>
      <c r="O8" s="649"/>
      <c r="P8" s="28" t="s">
        <v>183</v>
      </c>
      <c r="Q8" s="174" t="s">
        <v>184</v>
      </c>
      <c r="R8" s="650"/>
      <c r="S8" s="649"/>
      <c r="T8" s="649"/>
      <c r="U8" s="769"/>
      <c r="V8" s="584"/>
      <c r="W8" s="584"/>
      <c r="X8" s="584"/>
      <c r="Y8" s="662"/>
      <c r="Z8" s="662"/>
      <c r="AA8" s="662"/>
      <c r="AB8" s="424"/>
      <c r="AC8" s="424"/>
      <c r="AD8" s="424"/>
      <c r="AE8" s="439"/>
      <c r="AF8" s="439"/>
      <c r="AG8" s="439"/>
      <c r="AH8" s="306"/>
      <c r="AI8" s="306"/>
      <c r="AJ8" s="306"/>
      <c r="AK8" s="658"/>
      <c r="AL8" s="658"/>
      <c r="AM8" s="658"/>
      <c r="AN8" s="658"/>
      <c r="AO8" s="649"/>
      <c r="AP8" s="643"/>
      <c r="AQ8" s="643"/>
      <c r="AR8" s="652"/>
      <c r="AS8" s="652"/>
      <c r="AT8" s="652"/>
      <c r="AU8" s="652"/>
      <c r="AV8" s="652"/>
      <c r="AW8" s="652"/>
      <c r="AX8" s="651"/>
      <c r="AY8" s="651"/>
      <c r="AZ8" s="670"/>
      <c r="BA8" s="672"/>
      <c r="BB8" s="672"/>
      <c r="BC8" s="672"/>
      <c r="BD8" s="660"/>
      <c r="BE8" s="660"/>
      <c r="BF8" s="660"/>
      <c r="BG8" s="422"/>
      <c r="BH8" s="422"/>
      <c r="BI8" s="422"/>
      <c r="BJ8" s="409"/>
      <c r="BK8" s="409"/>
      <c r="BL8" s="409"/>
      <c r="BM8" s="340"/>
      <c r="BN8" s="340"/>
      <c r="BO8" s="340"/>
      <c r="BP8" s="651"/>
      <c r="BQ8" s="651"/>
      <c r="BR8" s="651"/>
      <c r="BS8" s="669"/>
      <c r="BT8" s="669"/>
      <c r="BU8" s="651"/>
      <c r="BV8" s="651"/>
      <c r="BW8" s="664"/>
      <c r="BX8" s="664"/>
      <c r="BY8" s="664"/>
      <c r="BZ8" s="534"/>
      <c r="CA8" s="534"/>
      <c r="CB8" s="534"/>
      <c r="CC8" s="534"/>
      <c r="CD8" s="534"/>
      <c r="CE8" s="664"/>
      <c r="CF8" s="664"/>
      <c r="CG8" s="664"/>
      <c r="CH8" s="666"/>
      <c r="CI8" s="666"/>
      <c r="CJ8" s="666"/>
      <c r="CK8" s="666"/>
      <c r="CL8" s="666"/>
      <c r="CM8" s="666"/>
      <c r="CN8" s="668"/>
      <c r="CO8" s="668"/>
      <c r="CP8" s="668"/>
      <c r="CQ8" s="675"/>
      <c r="CR8" s="675"/>
      <c r="CS8" s="675"/>
      <c r="CT8" s="520"/>
      <c r="CU8" s="520"/>
      <c r="CV8" s="679"/>
      <c r="CW8" s="531"/>
      <c r="CX8" s="531"/>
      <c r="CY8" s="676"/>
      <c r="CZ8" s="533"/>
      <c r="DA8" s="533"/>
      <c r="DB8" s="534"/>
      <c r="DC8" s="534"/>
      <c r="DD8" s="534"/>
      <c r="DE8" s="441"/>
      <c r="DF8" s="441"/>
      <c r="DG8" s="442"/>
      <c r="DH8" s="407"/>
      <c r="DI8" s="407"/>
      <c r="DJ8" s="535"/>
      <c r="DK8" s="381"/>
      <c r="DL8" s="381"/>
      <c r="DM8" s="382"/>
      <c r="DN8" s="591"/>
      <c r="DO8" s="591"/>
      <c r="DP8" s="591"/>
      <c r="DQ8" s="591"/>
      <c r="DR8" s="591"/>
      <c r="DS8" s="582"/>
      <c r="DT8" s="582"/>
      <c r="DU8" s="584"/>
      <c r="DV8" s="586"/>
      <c r="DW8" s="681"/>
      <c r="DX8" s="588"/>
      <c r="DY8" s="591"/>
      <c r="DZ8" s="584"/>
      <c r="EA8" s="678"/>
      <c r="EB8" s="424"/>
      <c r="EC8" s="439"/>
      <c r="ED8" s="306"/>
      <c r="EE8" s="580"/>
      <c r="EF8" s="580"/>
    </row>
    <row r="9" spans="1:136" ht="50.25" customHeight="1" x14ac:dyDescent="0.4">
      <c r="A9" s="632" t="s">
        <v>185</v>
      </c>
      <c r="B9" s="632" t="s">
        <v>186</v>
      </c>
      <c r="C9" s="632" t="s">
        <v>187</v>
      </c>
      <c r="D9" s="621" t="s">
        <v>188</v>
      </c>
      <c r="E9" s="376">
        <v>1049212</v>
      </c>
      <c r="F9" s="621" t="s">
        <v>188</v>
      </c>
      <c r="G9" s="376">
        <v>136397.56</v>
      </c>
      <c r="H9" s="376" t="s">
        <v>189</v>
      </c>
      <c r="I9" s="376">
        <f>+T9+T19+T30+T31+T35+T72</f>
        <v>33044</v>
      </c>
      <c r="J9" s="376">
        <v>192073</v>
      </c>
      <c r="K9" s="568" t="s">
        <v>190</v>
      </c>
      <c r="L9" s="568" t="s">
        <v>191</v>
      </c>
      <c r="M9" s="610" t="s">
        <v>189</v>
      </c>
      <c r="N9" s="612">
        <v>5260</v>
      </c>
      <c r="O9" s="610" t="s">
        <v>192</v>
      </c>
      <c r="P9" s="436"/>
      <c r="Q9" s="436" t="s">
        <v>193</v>
      </c>
      <c r="R9" s="436" t="s">
        <v>194</v>
      </c>
      <c r="S9" s="612">
        <v>5400</v>
      </c>
      <c r="T9" s="612">
        <v>5400</v>
      </c>
      <c r="U9" s="612">
        <v>17846</v>
      </c>
      <c r="V9" s="348">
        <f>4383+1631</f>
        <v>6014</v>
      </c>
      <c r="W9" s="332">
        <v>1</v>
      </c>
      <c r="X9" s="331">
        <v>1</v>
      </c>
      <c r="Y9" s="348">
        <f>4383+1631+599</f>
        <v>6613</v>
      </c>
      <c r="Z9" s="332">
        <v>1</v>
      </c>
      <c r="AA9" s="331">
        <v>1</v>
      </c>
      <c r="AB9" s="348">
        <f>4383+1631+599</f>
        <v>6613</v>
      </c>
      <c r="AC9" s="332">
        <v>1</v>
      </c>
      <c r="AD9" s="331">
        <v>1</v>
      </c>
      <c r="AE9" s="348">
        <f>4383+1631+599</f>
        <v>6613</v>
      </c>
      <c r="AF9" s="332">
        <v>1</v>
      </c>
      <c r="AG9" s="331">
        <v>1</v>
      </c>
      <c r="AH9" s="348">
        <f>4383+1631+599</f>
        <v>6613</v>
      </c>
      <c r="AI9" s="332">
        <v>1</v>
      </c>
      <c r="AJ9" s="331">
        <v>1</v>
      </c>
      <c r="AK9" s="436" t="s">
        <v>195</v>
      </c>
      <c r="AL9" s="437" t="s">
        <v>196</v>
      </c>
      <c r="AM9" s="437" t="s">
        <v>197</v>
      </c>
      <c r="AN9" s="610" t="s">
        <v>198</v>
      </c>
      <c r="AO9" s="610" t="s">
        <v>199</v>
      </c>
      <c r="AP9" s="420">
        <v>2020130010053</v>
      </c>
      <c r="AQ9" s="420" t="s">
        <v>200</v>
      </c>
      <c r="AR9" s="129" t="s">
        <v>201</v>
      </c>
      <c r="AS9" s="612"/>
      <c r="AT9" s="30"/>
      <c r="AU9" s="134">
        <v>0.12</v>
      </c>
      <c r="AV9" s="123">
        <v>44958</v>
      </c>
      <c r="AW9" s="124">
        <v>45275</v>
      </c>
      <c r="AX9" s="29">
        <f t="shared" ref="AX9:AX16" si="0">+AW9-AV9</f>
        <v>317</v>
      </c>
      <c r="AY9" s="612">
        <v>5400</v>
      </c>
      <c r="AZ9" s="612">
        <f>+V9</f>
        <v>6014</v>
      </c>
      <c r="BA9" s="354">
        <f>4382+1+1631</f>
        <v>6014</v>
      </c>
      <c r="BB9" s="360">
        <v>1</v>
      </c>
      <c r="BC9" s="341">
        <f>+AVERAGE(BB9:BB24)</f>
        <v>1</v>
      </c>
      <c r="BD9" s="354">
        <f>4382+1+1631+599</f>
        <v>6613</v>
      </c>
      <c r="BE9" s="360">
        <v>1</v>
      </c>
      <c r="BF9" s="341">
        <f>+AVERAGE(BE9:BE24)</f>
        <v>1</v>
      </c>
      <c r="BG9" s="354">
        <f>4382+1+1631+599</f>
        <v>6613</v>
      </c>
      <c r="BH9" s="360">
        <v>1</v>
      </c>
      <c r="BI9" s="341">
        <f>+AVERAGE(BH9:BH24)</f>
        <v>1</v>
      </c>
      <c r="BJ9" s="354">
        <f>4382+1+1631+599</f>
        <v>6613</v>
      </c>
      <c r="BK9" s="360">
        <v>1</v>
      </c>
      <c r="BL9" s="341">
        <f>+AVERAGE(BK9:BK24)</f>
        <v>1</v>
      </c>
      <c r="BM9" s="354">
        <f>4382+1+1631+599</f>
        <v>6613</v>
      </c>
      <c r="BN9" s="360">
        <v>1</v>
      </c>
      <c r="BO9" s="341">
        <f>+AVERAGE(BN9:BN24)</f>
        <v>1</v>
      </c>
      <c r="BP9" s="420" t="s">
        <v>202</v>
      </c>
      <c r="BQ9" s="420" t="s">
        <v>203</v>
      </c>
      <c r="BR9" s="420" t="s">
        <v>204</v>
      </c>
      <c r="BS9" s="60">
        <v>301877550</v>
      </c>
      <c r="BT9" s="48" t="s">
        <v>205</v>
      </c>
      <c r="BU9" s="420" t="s">
        <v>206</v>
      </c>
      <c r="BV9" s="420" t="s">
        <v>207</v>
      </c>
      <c r="BW9" s="752">
        <v>2169560667</v>
      </c>
      <c r="BX9" s="571">
        <v>1701544510</v>
      </c>
      <c r="BY9" s="562">
        <f>BX9/BW9</f>
        <v>0.78428067759582032</v>
      </c>
      <c r="BZ9" s="572">
        <v>2169560667</v>
      </c>
      <c r="CA9" s="572">
        <v>1877686060</v>
      </c>
      <c r="CB9" s="572">
        <v>0</v>
      </c>
      <c r="CC9" s="448">
        <f>CA9/BZ9</f>
        <v>0.86546833585271665</v>
      </c>
      <c r="CD9" s="448">
        <f>CB9/BZ9</f>
        <v>0</v>
      </c>
      <c r="CE9" s="466">
        <v>2169560667</v>
      </c>
      <c r="CF9" s="466">
        <v>1701544510</v>
      </c>
      <c r="CG9" s="448">
        <f>CF9/CE9</f>
        <v>0.78428067759582032</v>
      </c>
      <c r="CH9" s="473">
        <v>4430933665.21</v>
      </c>
      <c r="CI9" s="466">
        <v>1699222375</v>
      </c>
      <c r="CJ9" s="448">
        <f>CI9/CH9</f>
        <v>0.383490817825066</v>
      </c>
      <c r="CK9" s="473">
        <v>4430933665.21</v>
      </c>
      <c r="CL9" s="466">
        <v>1699222375</v>
      </c>
      <c r="CM9" s="448">
        <f>CL9/CK9</f>
        <v>0.383490817825066</v>
      </c>
      <c r="CN9" s="386">
        <v>4430933665.21</v>
      </c>
      <c r="CO9" s="487">
        <v>1699222375</v>
      </c>
      <c r="CP9" s="389">
        <f>CO9/CN9</f>
        <v>0.383490817825066</v>
      </c>
      <c r="CQ9" s="386">
        <v>4430933665.21</v>
      </c>
      <c r="CR9" s="487">
        <v>1699222375</v>
      </c>
      <c r="CS9" s="389">
        <f>CO9/CN9</f>
        <v>0.383490817825066</v>
      </c>
      <c r="CT9" s="383">
        <v>4531743860.0299997</v>
      </c>
      <c r="CU9" s="487">
        <v>1699222375</v>
      </c>
      <c r="CV9" s="389">
        <f>CR9/CQ9</f>
        <v>0.383490817825066</v>
      </c>
      <c r="CW9" s="383">
        <v>4531743860.0299997</v>
      </c>
      <c r="CX9" s="386">
        <v>1700975069.1400001</v>
      </c>
      <c r="CY9" s="389">
        <f>CX9/CW9</f>
        <v>0.37534669250453617</v>
      </c>
      <c r="CZ9" s="463">
        <f>4975830854.03-CZ19</f>
        <v>4531743860.0299997</v>
      </c>
      <c r="DA9" s="463">
        <v>2182385738</v>
      </c>
      <c r="DB9" s="463">
        <v>2182385738</v>
      </c>
      <c r="DC9" s="389">
        <f>DA9/CZ9</f>
        <v>0.48157746894052234</v>
      </c>
      <c r="DD9" s="389">
        <f>DB9/CZ9</f>
        <v>0.48157746894052234</v>
      </c>
      <c r="DE9" s="383">
        <v>4531743860.0299997</v>
      </c>
      <c r="DF9" s="386">
        <v>1874086248.1099999</v>
      </c>
      <c r="DG9" s="389">
        <f>DF9/DE9</f>
        <v>0.41354637552211382</v>
      </c>
      <c r="DH9" s="383">
        <v>4531743860.0299997</v>
      </c>
      <c r="DI9" s="386">
        <v>2029573038.1099999</v>
      </c>
      <c r="DJ9" s="389">
        <f>DI9/DH9</f>
        <v>0.44785696208712122</v>
      </c>
      <c r="DK9" s="383">
        <v>4531743860.0299997</v>
      </c>
      <c r="DL9" s="386">
        <v>2094381150.1400001</v>
      </c>
      <c r="DM9" s="389">
        <f>DL9/DK9</f>
        <v>0.4621578833288551</v>
      </c>
      <c r="DN9" s="48" t="s">
        <v>208</v>
      </c>
      <c r="DO9" s="48" t="s">
        <v>209</v>
      </c>
      <c r="DP9" s="66" t="s">
        <v>210</v>
      </c>
      <c r="DQ9" s="66" t="s">
        <v>205</v>
      </c>
      <c r="DR9" s="71">
        <v>44927</v>
      </c>
      <c r="DS9" s="494" t="s">
        <v>211</v>
      </c>
      <c r="DT9" s="494" t="s">
        <v>212</v>
      </c>
      <c r="DU9" s="500" t="s">
        <v>213</v>
      </c>
      <c r="DV9" s="500" t="s">
        <v>214</v>
      </c>
      <c r="DW9" s="307" t="s">
        <v>215</v>
      </c>
      <c r="DX9" s="307" t="s">
        <v>216</v>
      </c>
      <c r="DY9" s="307" t="s">
        <v>217</v>
      </c>
      <c r="DZ9" s="307" t="s">
        <v>218</v>
      </c>
      <c r="EA9" s="307" t="s">
        <v>219</v>
      </c>
      <c r="EB9" s="307" t="s">
        <v>220</v>
      </c>
      <c r="EC9" s="307" t="s">
        <v>731</v>
      </c>
      <c r="ED9" s="307" t="s">
        <v>778</v>
      </c>
      <c r="EE9" s="496" t="s">
        <v>221</v>
      </c>
      <c r="EF9" s="496" t="s">
        <v>222</v>
      </c>
    </row>
    <row r="10" spans="1:136" ht="50.25" customHeight="1" x14ac:dyDescent="0.4">
      <c r="A10" s="633"/>
      <c r="B10" s="633"/>
      <c r="C10" s="633"/>
      <c r="D10" s="621"/>
      <c r="E10" s="376"/>
      <c r="F10" s="621"/>
      <c r="G10" s="376"/>
      <c r="H10" s="376"/>
      <c r="I10" s="376"/>
      <c r="J10" s="376"/>
      <c r="K10" s="568"/>
      <c r="L10" s="568"/>
      <c r="M10" s="610"/>
      <c r="N10" s="612"/>
      <c r="O10" s="610"/>
      <c r="P10" s="436"/>
      <c r="Q10" s="436"/>
      <c r="R10" s="436"/>
      <c r="S10" s="612"/>
      <c r="T10" s="612"/>
      <c r="U10" s="612"/>
      <c r="V10" s="348"/>
      <c r="W10" s="332"/>
      <c r="X10" s="331"/>
      <c r="Y10" s="348"/>
      <c r="Z10" s="332"/>
      <c r="AA10" s="331"/>
      <c r="AB10" s="348"/>
      <c r="AC10" s="332"/>
      <c r="AD10" s="331"/>
      <c r="AE10" s="348"/>
      <c r="AF10" s="332"/>
      <c r="AG10" s="331"/>
      <c r="AH10" s="348"/>
      <c r="AI10" s="332"/>
      <c r="AJ10" s="331"/>
      <c r="AK10" s="436"/>
      <c r="AL10" s="437"/>
      <c r="AM10" s="437"/>
      <c r="AN10" s="610"/>
      <c r="AO10" s="610"/>
      <c r="AP10" s="420"/>
      <c r="AQ10" s="420"/>
      <c r="AR10" s="129" t="s">
        <v>223</v>
      </c>
      <c r="AS10" s="612"/>
      <c r="AT10" s="30"/>
      <c r="AU10" s="134">
        <v>0.12</v>
      </c>
      <c r="AV10" s="123">
        <v>44958</v>
      </c>
      <c r="AW10" s="124">
        <v>45275</v>
      </c>
      <c r="AX10" s="29">
        <f t="shared" si="0"/>
        <v>317</v>
      </c>
      <c r="AY10" s="612"/>
      <c r="AZ10" s="612"/>
      <c r="BA10" s="355"/>
      <c r="BB10" s="361"/>
      <c r="BC10" s="342"/>
      <c r="BD10" s="355"/>
      <c r="BE10" s="361"/>
      <c r="BF10" s="342"/>
      <c r="BG10" s="355"/>
      <c r="BH10" s="361"/>
      <c r="BI10" s="342"/>
      <c r="BJ10" s="355"/>
      <c r="BK10" s="361"/>
      <c r="BL10" s="342"/>
      <c r="BM10" s="355"/>
      <c r="BN10" s="361"/>
      <c r="BO10" s="342"/>
      <c r="BP10" s="420"/>
      <c r="BQ10" s="420"/>
      <c r="BR10" s="420"/>
      <c r="BS10" s="60">
        <v>371541600</v>
      </c>
      <c r="BT10" s="48" t="s">
        <v>224</v>
      </c>
      <c r="BU10" s="420"/>
      <c r="BV10" s="420"/>
      <c r="BW10" s="752"/>
      <c r="BX10" s="571"/>
      <c r="BY10" s="562"/>
      <c r="BZ10" s="573"/>
      <c r="CA10" s="573"/>
      <c r="CB10" s="573"/>
      <c r="CC10" s="449"/>
      <c r="CD10" s="449"/>
      <c r="CE10" s="467"/>
      <c r="CF10" s="467"/>
      <c r="CG10" s="449"/>
      <c r="CH10" s="474"/>
      <c r="CI10" s="467"/>
      <c r="CJ10" s="449"/>
      <c r="CK10" s="474"/>
      <c r="CL10" s="467"/>
      <c r="CM10" s="449"/>
      <c r="CN10" s="446"/>
      <c r="CO10" s="488"/>
      <c r="CP10" s="390"/>
      <c r="CQ10" s="446"/>
      <c r="CR10" s="488"/>
      <c r="CS10" s="390"/>
      <c r="CT10" s="521"/>
      <c r="CU10" s="433"/>
      <c r="CV10" s="390"/>
      <c r="CW10" s="384"/>
      <c r="CX10" s="387"/>
      <c r="CY10" s="390"/>
      <c r="CZ10" s="464"/>
      <c r="DA10" s="464"/>
      <c r="DB10" s="464"/>
      <c r="DC10" s="390"/>
      <c r="DD10" s="390"/>
      <c r="DE10" s="384"/>
      <c r="DF10" s="387"/>
      <c r="DG10" s="390"/>
      <c r="DH10" s="384"/>
      <c r="DI10" s="387"/>
      <c r="DJ10" s="390"/>
      <c r="DK10" s="384"/>
      <c r="DL10" s="387"/>
      <c r="DM10" s="390"/>
      <c r="DN10" s="48" t="s">
        <v>208</v>
      </c>
      <c r="DO10" s="48" t="s">
        <v>209</v>
      </c>
      <c r="DP10" s="66" t="s">
        <v>210</v>
      </c>
      <c r="DQ10" s="66" t="s">
        <v>224</v>
      </c>
      <c r="DR10" s="71">
        <v>44927</v>
      </c>
      <c r="DS10" s="529"/>
      <c r="DT10" s="529"/>
      <c r="DU10" s="501"/>
      <c r="DV10" s="501"/>
      <c r="DW10" s="308"/>
      <c r="DX10" s="308"/>
      <c r="DY10" s="308"/>
      <c r="DZ10" s="308"/>
      <c r="EA10" s="308"/>
      <c r="EB10" s="308"/>
      <c r="EC10" s="308"/>
      <c r="ED10" s="308"/>
      <c r="EE10" s="492"/>
      <c r="EF10" s="492"/>
    </row>
    <row r="11" spans="1:136" ht="50.25" customHeight="1" x14ac:dyDescent="0.4">
      <c r="A11" s="633"/>
      <c r="B11" s="633"/>
      <c r="C11" s="633"/>
      <c r="D11" s="621"/>
      <c r="E11" s="376"/>
      <c r="F11" s="621"/>
      <c r="G11" s="376"/>
      <c r="H11" s="376"/>
      <c r="I11" s="376"/>
      <c r="J11" s="376"/>
      <c r="K11" s="568"/>
      <c r="L11" s="568"/>
      <c r="M11" s="610"/>
      <c r="N11" s="612"/>
      <c r="O11" s="610"/>
      <c r="P11" s="436"/>
      <c r="Q11" s="436"/>
      <c r="R11" s="436"/>
      <c r="S11" s="612"/>
      <c r="T11" s="612"/>
      <c r="U11" s="612"/>
      <c r="V11" s="348"/>
      <c r="W11" s="332"/>
      <c r="X11" s="331"/>
      <c r="Y11" s="348"/>
      <c r="Z11" s="332"/>
      <c r="AA11" s="331"/>
      <c r="AB11" s="348"/>
      <c r="AC11" s="332"/>
      <c r="AD11" s="331"/>
      <c r="AE11" s="348"/>
      <c r="AF11" s="332"/>
      <c r="AG11" s="331"/>
      <c r="AH11" s="348"/>
      <c r="AI11" s="332"/>
      <c r="AJ11" s="331"/>
      <c r="AK11" s="436"/>
      <c r="AL11" s="437"/>
      <c r="AM11" s="437"/>
      <c r="AN11" s="610"/>
      <c r="AO11" s="610"/>
      <c r="AP11" s="420"/>
      <c r="AQ11" s="420"/>
      <c r="AR11" s="129" t="s">
        <v>225</v>
      </c>
      <c r="AS11" s="612"/>
      <c r="AT11" s="30"/>
      <c r="AU11" s="134">
        <v>0.12</v>
      </c>
      <c r="AV11" s="123">
        <v>44958</v>
      </c>
      <c r="AW11" s="124">
        <v>45275</v>
      </c>
      <c r="AX11" s="29">
        <f t="shared" si="0"/>
        <v>317</v>
      </c>
      <c r="AY11" s="612"/>
      <c r="AZ11" s="612"/>
      <c r="BA11" s="355"/>
      <c r="BB11" s="361"/>
      <c r="BC11" s="342"/>
      <c r="BD11" s="355"/>
      <c r="BE11" s="361"/>
      <c r="BF11" s="342"/>
      <c r="BG11" s="355"/>
      <c r="BH11" s="361"/>
      <c r="BI11" s="342"/>
      <c r="BJ11" s="355"/>
      <c r="BK11" s="361"/>
      <c r="BL11" s="342"/>
      <c r="BM11" s="355"/>
      <c r="BN11" s="361"/>
      <c r="BO11" s="342"/>
      <c r="BP11" s="420"/>
      <c r="BQ11" s="420"/>
      <c r="BR11" s="420"/>
      <c r="BS11" s="60">
        <v>278656200</v>
      </c>
      <c r="BT11" s="48" t="s">
        <v>224</v>
      </c>
      <c r="BU11" s="420"/>
      <c r="BV11" s="420"/>
      <c r="BW11" s="752"/>
      <c r="BX11" s="571"/>
      <c r="BY11" s="562"/>
      <c r="BZ11" s="573"/>
      <c r="CA11" s="573"/>
      <c r="CB11" s="573"/>
      <c r="CC11" s="449"/>
      <c r="CD11" s="449"/>
      <c r="CE11" s="467"/>
      <c r="CF11" s="467"/>
      <c r="CG11" s="449"/>
      <c r="CH11" s="474"/>
      <c r="CI11" s="467"/>
      <c r="CJ11" s="449"/>
      <c r="CK11" s="474"/>
      <c r="CL11" s="467"/>
      <c r="CM11" s="449"/>
      <c r="CN11" s="446"/>
      <c r="CO11" s="488"/>
      <c r="CP11" s="390"/>
      <c r="CQ11" s="446"/>
      <c r="CR11" s="488"/>
      <c r="CS11" s="390"/>
      <c r="CT11" s="521"/>
      <c r="CU11" s="433"/>
      <c r="CV11" s="390"/>
      <c r="CW11" s="384"/>
      <c r="CX11" s="387"/>
      <c r="CY11" s="390"/>
      <c r="CZ11" s="464"/>
      <c r="DA11" s="464"/>
      <c r="DB11" s="464"/>
      <c r="DC11" s="390"/>
      <c r="DD11" s="390"/>
      <c r="DE11" s="384"/>
      <c r="DF11" s="387"/>
      <c r="DG11" s="390"/>
      <c r="DH11" s="384"/>
      <c r="DI11" s="387"/>
      <c r="DJ11" s="390"/>
      <c r="DK11" s="384"/>
      <c r="DL11" s="387"/>
      <c r="DM11" s="390"/>
      <c r="DN11" s="48" t="s">
        <v>208</v>
      </c>
      <c r="DO11" s="48" t="s">
        <v>209</v>
      </c>
      <c r="DP11" s="66" t="s">
        <v>210</v>
      </c>
      <c r="DQ11" s="66" t="s">
        <v>224</v>
      </c>
      <c r="DR11" s="71">
        <v>44927</v>
      </c>
      <c r="DS11" s="529"/>
      <c r="DT11" s="529"/>
      <c r="DU11" s="501"/>
      <c r="DV11" s="501"/>
      <c r="DW11" s="308"/>
      <c r="DX11" s="308"/>
      <c r="DY11" s="308"/>
      <c r="DZ11" s="308"/>
      <c r="EA11" s="308"/>
      <c r="EB11" s="308"/>
      <c r="EC11" s="308"/>
      <c r="ED11" s="308"/>
      <c r="EE11" s="492"/>
      <c r="EF11" s="492"/>
    </row>
    <row r="12" spans="1:136" ht="50.25" customHeight="1" x14ac:dyDescent="0.4">
      <c r="A12" s="633"/>
      <c r="B12" s="633"/>
      <c r="C12" s="633"/>
      <c r="D12" s="621"/>
      <c r="E12" s="376"/>
      <c r="F12" s="621"/>
      <c r="G12" s="376"/>
      <c r="H12" s="376"/>
      <c r="I12" s="376"/>
      <c r="J12" s="376"/>
      <c r="K12" s="568"/>
      <c r="L12" s="568"/>
      <c r="M12" s="610"/>
      <c r="N12" s="612"/>
      <c r="O12" s="610"/>
      <c r="P12" s="436"/>
      <c r="Q12" s="436"/>
      <c r="R12" s="436"/>
      <c r="S12" s="612"/>
      <c r="T12" s="612"/>
      <c r="U12" s="612"/>
      <c r="V12" s="348"/>
      <c r="W12" s="332"/>
      <c r="X12" s="331"/>
      <c r="Y12" s="348"/>
      <c r="Z12" s="332"/>
      <c r="AA12" s="331"/>
      <c r="AB12" s="348"/>
      <c r="AC12" s="332"/>
      <c r="AD12" s="331"/>
      <c r="AE12" s="348"/>
      <c r="AF12" s="332"/>
      <c r="AG12" s="331"/>
      <c r="AH12" s="348"/>
      <c r="AI12" s="332"/>
      <c r="AJ12" s="331"/>
      <c r="AK12" s="436"/>
      <c r="AL12" s="437"/>
      <c r="AM12" s="437"/>
      <c r="AN12" s="610"/>
      <c r="AO12" s="610"/>
      <c r="AP12" s="420"/>
      <c r="AQ12" s="420"/>
      <c r="AR12" s="129" t="s">
        <v>226</v>
      </c>
      <c r="AS12" s="612"/>
      <c r="AT12" s="30"/>
      <c r="AU12" s="134">
        <v>0.12</v>
      </c>
      <c r="AV12" s="123">
        <v>44958</v>
      </c>
      <c r="AW12" s="124">
        <v>45275</v>
      </c>
      <c r="AX12" s="29">
        <f t="shared" si="0"/>
        <v>317</v>
      </c>
      <c r="AY12" s="612"/>
      <c r="AZ12" s="612"/>
      <c r="BA12" s="355"/>
      <c r="BB12" s="361"/>
      <c r="BC12" s="342"/>
      <c r="BD12" s="355"/>
      <c r="BE12" s="361"/>
      <c r="BF12" s="342"/>
      <c r="BG12" s="355"/>
      <c r="BH12" s="361"/>
      <c r="BI12" s="342"/>
      <c r="BJ12" s="355"/>
      <c r="BK12" s="361"/>
      <c r="BL12" s="342"/>
      <c r="BM12" s="355"/>
      <c r="BN12" s="361"/>
      <c r="BO12" s="342"/>
      <c r="BP12" s="420"/>
      <c r="BQ12" s="420"/>
      <c r="BR12" s="420"/>
      <c r="BS12" s="62">
        <v>255434850</v>
      </c>
      <c r="BT12" s="48" t="s">
        <v>224</v>
      </c>
      <c r="BU12" s="420"/>
      <c r="BV12" s="420"/>
      <c r="BW12" s="752"/>
      <c r="BX12" s="571"/>
      <c r="BY12" s="562"/>
      <c r="BZ12" s="573"/>
      <c r="CA12" s="573"/>
      <c r="CB12" s="573"/>
      <c r="CC12" s="449"/>
      <c r="CD12" s="449"/>
      <c r="CE12" s="467"/>
      <c r="CF12" s="467"/>
      <c r="CG12" s="449"/>
      <c r="CH12" s="474"/>
      <c r="CI12" s="467"/>
      <c r="CJ12" s="449"/>
      <c r="CK12" s="474"/>
      <c r="CL12" s="467"/>
      <c r="CM12" s="449"/>
      <c r="CN12" s="446"/>
      <c r="CO12" s="488"/>
      <c r="CP12" s="390"/>
      <c r="CQ12" s="446"/>
      <c r="CR12" s="488"/>
      <c r="CS12" s="390"/>
      <c r="CT12" s="521"/>
      <c r="CU12" s="433"/>
      <c r="CV12" s="390"/>
      <c r="CW12" s="384"/>
      <c r="CX12" s="387"/>
      <c r="CY12" s="390"/>
      <c r="CZ12" s="464"/>
      <c r="DA12" s="464"/>
      <c r="DB12" s="464"/>
      <c r="DC12" s="390"/>
      <c r="DD12" s="390"/>
      <c r="DE12" s="384"/>
      <c r="DF12" s="387"/>
      <c r="DG12" s="390"/>
      <c r="DH12" s="384"/>
      <c r="DI12" s="387"/>
      <c r="DJ12" s="390"/>
      <c r="DK12" s="384"/>
      <c r="DL12" s="387"/>
      <c r="DM12" s="390"/>
      <c r="DN12" s="48" t="s">
        <v>208</v>
      </c>
      <c r="DO12" s="48" t="s">
        <v>209</v>
      </c>
      <c r="DP12" s="66" t="s">
        <v>210</v>
      </c>
      <c r="DQ12" s="66" t="s">
        <v>224</v>
      </c>
      <c r="DR12" s="71">
        <v>44927</v>
      </c>
      <c r="DS12" s="529"/>
      <c r="DT12" s="529"/>
      <c r="DU12" s="502"/>
      <c r="DV12" s="501"/>
      <c r="DW12" s="308"/>
      <c r="DX12" s="308"/>
      <c r="DY12" s="308"/>
      <c r="DZ12" s="308"/>
      <c r="EA12" s="308"/>
      <c r="EB12" s="308"/>
      <c r="EC12" s="308"/>
      <c r="ED12" s="308"/>
      <c r="EE12" s="492"/>
      <c r="EF12" s="492"/>
    </row>
    <row r="13" spans="1:136" ht="50.25" customHeight="1" x14ac:dyDescent="0.4">
      <c r="A13" s="633"/>
      <c r="B13" s="633"/>
      <c r="C13" s="633"/>
      <c r="D13" s="621"/>
      <c r="E13" s="376"/>
      <c r="F13" s="621"/>
      <c r="G13" s="376"/>
      <c r="H13" s="376"/>
      <c r="I13" s="376"/>
      <c r="J13" s="376"/>
      <c r="K13" s="568"/>
      <c r="L13" s="568"/>
      <c r="M13" s="610"/>
      <c r="N13" s="612"/>
      <c r="O13" s="610"/>
      <c r="P13" s="436"/>
      <c r="Q13" s="436" t="s">
        <v>193</v>
      </c>
      <c r="R13" s="436" t="s">
        <v>227</v>
      </c>
      <c r="S13" s="612"/>
      <c r="T13" s="612"/>
      <c r="U13" s="612"/>
      <c r="V13" s="348"/>
      <c r="W13" s="332"/>
      <c r="X13" s="331"/>
      <c r="Y13" s="348"/>
      <c r="Z13" s="332"/>
      <c r="AA13" s="331"/>
      <c r="AB13" s="348"/>
      <c r="AC13" s="332"/>
      <c r="AD13" s="331"/>
      <c r="AE13" s="348"/>
      <c r="AF13" s="332"/>
      <c r="AG13" s="331"/>
      <c r="AH13" s="348"/>
      <c r="AI13" s="332"/>
      <c r="AJ13" s="331"/>
      <c r="AK13" s="436"/>
      <c r="AL13" s="437"/>
      <c r="AM13" s="437"/>
      <c r="AN13" s="610"/>
      <c r="AO13" s="610"/>
      <c r="AP13" s="420"/>
      <c r="AQ13" s="420"/>
      <c r="AR13" s="129" t="s">
        <v>228</v>
      </c>
      <c r="AS13" s="612"/>
      <c r="AT13" s="30"/>
      <c r="AU13" s="134">
        <v>0.08</v>
      </c>
      <c r="AV13" s="123">
        <v>44958</v>
      </c>
      <c r="AW13" s="124">
        <v>45275</v>
      </c>
      <c r="AX13" s="29">
        <f t="shared" si="0"/>
        <v>317</v>
      </c>
      <c r="AY13" s="612"/>
      <c r="AZ13" s="612"/>
      <c r="BA13" s="355"/>
      <c r="BB13" s="361"/>
      <c r="BC13" s="342"/>
      <c r="BD13" s="355"/>
      <c r="BE13" s="361"/>
      <c r="BF13" s="342"/>
      <c r="BG13" s="355"/>
      <c r="BH13" s="361"/>
      <c r="BI13" s="342"/>
      <c r="BJ13" s="355"/>
      <c r="BK13" s="361"/>
      <c r="BL13" s="342"/>
      <c r="BM13" s="355"/>
      <c r="BN13" s="361"/>
      <c r="BO13" s="342"/>
      <c r="BP13" s="420"/>
      <c r="BQ13" s="420"/>
      <c r="BR13" s="420"/>
      <c r="BS13" s="62">
        <v>43260000</v>
      </c>
      <c r="BT13" s="48" t="s">
        <v>224</v>
      </c>
      <c r="BU13" s="420"/>
      <c r="BV13" s="420"/>
      <c r="BW13" s="752"/>
      <c r="BX13" s="571"/>
      <c r="BY13" s="562"/>
      <c r="BZ13" s="573"/>
      <c r="CA13" s="573"/>
      <c r="CB13" s="573"/>
      <c r="CC13" s="449"/>
      <c r="CD13" s="449"/>
      <c r="CE13" s="467"/>
      <c r="CF13" s="467"/>
      <c r="CG13" s="449"/>
      <c r="CH13" s="474"/>
      <c r="CI13" s="467"/>
      <c r="CJ13" s="449"/>
      <c r="CK13" s="474"/>
      <c r="CL13" s="467"/>
      <c r="CM13" s="449"/>
      <c r="CN13" s="446"/>
      <c r="CO13" s="488"/>
      <c r="CP13" s="390"/>
      <c r="CQ13" s="446"/>
      <c r="CR13" s="488"/>
      <c r="CS13" s="390"/>
      <c r="CT13" s="521"/>
      <c r="CU13" s="433"/>
      <c r="CV13" s="390"/>
      <c r="CW13" s="384"/>
      <c r="CX13" s="387"/>
      <c r="CY13" s="390"/>
      <c r="CZ13" s="464"/>
      <c r="DA13" s="464"/>
      <c r="DB13" s="464"/>
      <c r="DC13" s="390"/>
      <c r="DD13" s="390"/>
      <c r="DE13" s="384"/>
      <c r="DF13" s="387"/>
      <c r="DG13" s="390"/>
      <c r="DH13" s="384"/>
      <c r="DI13" s="387"/>
      <c r="DJ13" s="390"/>
      <c r="DK13" s="384"/>
      <c r="DL13" s="387"/>
      <c r="DM13" s="390"/>
      <c r="DN13" s="48" t="s">
        <v>208</v>
      </c>
      <c r="DO13" s="48" t="s">
        <v>209</v>
      </c>
      <c r="DP13" s="66" t="s">
        <v>210</v>
      </c>
      <c r="DQ13" s="66" t="s">
        <v>224</v>
      </c>
      <c r="DR13" s="71">
        <v>44927</v>
      </c>
      <c r="DS13" s="529"/>
      <c r="DT13" s="529"/>
      <c r="DU13" s="315" t="s">
        <v>229</v>
      </c>
      <c r="DV13" s="501"/>
      <c r="DW13" s="308"/>
      <c r="DX13" s="308"/>
      <c r="DY13" s="308"/>
      <c r="DZ13" s="308"/>
      <c r="EA13" s="308"/>
      <c r="EB13" s="308"/>
      <c r="EC13" s="308"/>
      <c r="ED13" s="308"/>
      <c r="EE13" s="492"/>
      <c r="EF13" s="492"/>
    </row>
    <row r="14" spans="1:136" ht="50.25" customHeight="1" x14ac:dyDescent="0.4">
      <c r="A14" s="633"/>
      <c r="B14" s="633"/>
      <c r="C14" s="633"/>
      <c r="D14" s="621"/>
      <c r="E14" s="376"/>
      <c r="F14" s="621"/>
      <c r="G14" s="376"/>
      <c r="H14" s="376"/>
      <c r="I14" s="376"/>
      <c r="J14" s="376"/>
      <c r="K14" s="568"/>
      <c r="L14" s="568"/>
      <c r="M14" s="610"/>
      <c r="N14" s="612"/>
      <c r="O14" s="610"/>
      <c r="P14" s="436"/>
      <c r="Q14" s="436"/>
      <c r="R14" s="436"/>
      <c r="S14" s="612"/>
      <c r="T14" s="612"/>
      <c r="U14" s="612"/>
      <c r="V14" s="348"/>
      <c r="W14" s="332"/>
      <c r="X14" s="331"/>
      <c r="Y14" s="348"/>
      <c r="Z14" s="332"/>
      <c r="AA14" s="331"/>
      <c r="AB14" s="348"/>
      <c r="AC14" s="332"/>
      <c r="AD14" s="331"/>
      <c r="AE14" s="348"/>
      <c r="AF14" s="332"/>
      <c r="AG14" s="331"/>
      <c r="AH14" s="348"/>
      <c r="AI14" s="332"/>
      <c r="AJ14" s="331"/>
      <c r="AK14" s="436"/>
      <c r="AL14" s="437"/>
      <c r="AM14" s="437"/>
      <c r="AN14" s="610"/>
      <c r="AO14" s="610"/>
      <c r="AP14" s="420"/>
      <c r="AQ14" s="420"/>
      <c r="AR14" s="129" t="s">
        <v>230</v>
      </c>
      <c r="AS14" s="612"/>
      <c r="AT14" s="30"/>
      <c r="AU14" s="134">
        <v>0.11</v>
      </c>
      <c r="AV14" s="123">
        <v>44958</v>
      </c>
      <c r="AW14" s="124">
        <v>45275</v>
      </c>
      <c r="AX14" s="29">
        <f t="shared" si="0"/>
        <v>317</v>
      </c>
      <c r="AY14" s="612"/>
      <c r="AZ14" s="612"/>
      <c r="BA14" s="355"/>
      <c r="BB14" s="361"/>
      <c r="BC14" s="342"/>
      <c r="BD14" s="355"/>
      <c r="BE14" s="361"/>
      <c r="BF14" s="342"/>
      <c r="BG14" s="355"/>
      <c r="BH14" s="361"/>
      <c r="BI14" s="342"/>
      <c r="BJ14" s="355"/>
      <c r="BK14" s="361"/>
      <c r="BL14" s="342"/>
      <c r="BM14" s="355"/>
      <c r="BN14" s="361"/>
      <c r="BO14" s="342"/>
      <c r="BP14" s="420"/>
      <c r="BQ14" s="420"/>
      <c r="BR14" s="420"/>
      <c r="BS14" s="62">
        <v>253066880</v>
      </c>
      <c r="BT14" s="48" t="s">
        <v>224</v>
      </c>
      <c r="BU14" s="420"/>
      <c r="BV14" s="420"/>
      <c r="BW14" s="752"/>
      <c r="BX14" s="571"/>
      <c r="BY14" s="562"/>
      <c r="BZ14" s="573"/>
      <c r="CA14" s="573"/>
      <c r="CB14" s="573"/>
      <c r="CC14" s="449"/>
      <c r="CD14" s="449"/>
      <c r="CE14" s="467"/>
      <c r="CF14" s="467"/>
      <c r="CG14" s="449"/>
      <c r="CH14" s="474"/>
      <c r="CI14" s="467"/>
      <c r="CJ14" s="449"/>
      <c r="CK14" s="474"/>
      <c r="CL14" s="467"/>
      <c r="CM14" s="449"/>
      <c r="CN14" s="446"/>
      <c r="CO14" s="488"/>
      <c r="CP14" s="390"/>
      <c r="CQ14" s="446"/>
      <c r="CR14" s="488"/>
      <c r="CS14" s="390"/>
      <c r="CT14" s="521"/>
      <c r="CU14" s="433"/>
      <c r="CV14" s="390"/>
      <c r="CW14" s="384"/>
      <c r="CX14" s="387"/>
      <c r="CY14" s="390"/>
      <c r="CZ14" s="464"/>
      <c r="DA14" s="464"/>
      <c r="DB14" s="464"/>
      <c r="DC14" s="390"/>
      <c r="DD14" s="390"/>
      <c r="DE14" s="384"/>
      <c r="DF14" s="387"/>
      <c r="DG14" s="390"/>
      <c r="DH14" s="384"/>
      <c r="DI14" s="387"/>
      <c r="DJ14" s="390"/>
      <c r="DK14" s="384"/>
      <c r="DL14" s="387"/>
      <c r="DM14" s="390"/>
      <c r="DN14" s="48" t="s">
        <v>208</v>
      </c>
      <c r="DO14" s="48" t="s">
        <v>209</v>
      </c>
      <c r="DP14" s="66" t="s">
        <v>210</v>
      </c>
      <c r="DQ14" s="66" t="s">
        <v>224</v>
      </c>
      <c r="DR14" s="71">
        <v>44927</v>
      </c>
      <c r="DS14" s="529"/>
      <c r="DT14" s="529"/>
      <c r="DU14" s="316"/>
      <c r="DV14" s="501"/>
      <c r="DW14" s="308"/>
      <c r="DX14" s="308"/>
      <c r="DY14" s="308"/>
      <c r="DZ14" s="308"/>
      <c r="EA14" s="308"/>
      <c r="EB14" s="308"/>
      <c r="EC14" s="308"/>
      <c r="ED14" s="308"/>
      <c r="EE14" s="492"/>
      <c r="EF14" s="492"/>
    </row>
    <row r="15" spans="1:136" ht="56.25" customHeight="1" x14ac:dyDescent="0.4">
      <c r="A15" s="633"/>
      <c r="B15" s="633"/>
      <c r="C15" s="633"/>
      <c r="D15" s="621"/>
      <c r="E15" s="376"/>
      <c r="F15" s="621"/>
      <c r="G15" s="376"/>
      <c r="H15" s="376"/>
      <c r="I15" s="376"/>
      <c r="J15" s="376"/>
      <c r="K15" s="568"/>
      <c r="L15" s="568"/>
      <c r="M15" s="610"/>
      <c r="N15" s="612"/>
      <c r="O15" s="610"/>
      <c r="P15" s="436"/>
      <c r="Q15" s="436"/>
      <c r="R15" s="436"/>
      <c r="S15" s="612"/>
      <c r="T15" s="612"/>
      <c r="U15" s="612"/>
      <c r="V15" s="348"/>
      <c r="W15" s="332"/>
      <c r="X15" s="331"/>
      <c r="Y15" s="348"/>
      <c r="Z15" s="332"/>
      <c r="AA15" s="331"/>
      <c r="AB15" s="348"/>
      <c r="AC15" s="332"/>
      <c r="AD15" s="331"/>
      <c r="AE15" s="348"/>
      <c r="AF15" s="332"/>
      <c r="AG15" s="331"/>
      <c r="AH15" s="348"/>
      <c r="AI15" s="332"/>
      <c r="AJ15" s="331"/>
      <c r="AK15" s="436"/>
      <c r="AL15" s="437"/>
      <c r="AM15" s="437"/>
      <c r="AN15" s="610"/>
      <c r="AO15" s="610"/>
      <c r="AP15" s="420"/>
      <c r="AQ15" s="420"/>
      <c r="AR15" s="129" t="s">
        <v>231</v>
      </c>
      <c r="AS15" s="612"/>
      <c r="AT15" s="30"/>
      <c r="AU15" s="134">
        <v>7.0000000000000007E-2</v>
      </c>
      <c r="AV15" s="123">
        <v>44958</v>
      </c>
      <c r="AW15" s="124">
        <v>45280</v>
      </c>
      <c r="AX15" s="29">
        <f t="shared" si="0"/>
        <v>322</v>
      </c>
      <c r="AY15" s="612"/>
      <c r="AZ15" s="612"/>
      <c r="BA15" s="355"/>
      <c r="BB15" s="361"/>
      <c r="BC15" s="342"/>
      <c r="BD15" s="355"/>
      <c r="BE15" s="361"/>
      <c r="BF15" s="342"/>
      <c r="BG15" s="355"/>
      <c r="BH15" s="361"/>
      <c r="BI15" s="342"/>
      <c r="BJ15" s="355"/>
      <c r="BK15" s="361"/>
      <c r="BL15" s="342"/>
      <c r="BM15" s="355"/>
      <c r="BN15" s="361"/>
      <c r="BO15" s="342"/>
      <c r="BP15" s="420"/>
      <c r="BQ15" s="420"/>
      <c r="BR15" s="420"/>
      <c r="BS15" s="62">
        <v>32000000</v>
      </c>
      <c r="BT15" s="48" t="s">
        <v>224</v>
      </c>
      <c r="BU15" s="420"/>
      <c r="BV15" s="420"/>
      <c r="BW15" s="752"/>
      <c r="BX15" s="571"/>
      <c r="BY15" s="562"/>
      <c r="BZ15" s="573"/>
      <c r="CA15" s="573"/>
      <c r="CB15" s="573"/>
      <c r="CC15" s="449"/>
      <c r="CD15" s="449"/>
      <c r="CE15" s="467"/>
      <c r="CF15" s="467"/>
      <c r="CG15" s="449"/>
      <c r="CH15" s="474"/>
      <c r="CI15" s="467"/>
      <c r="CJ15" s="449"/>
      <c r="CK15" s="474"/>
      <c r="CL15" s="467"/>
      <c r="CM15" s="449"/>
      <c r="CN15" s="446"/>
      <c r="CO15" s="488"/>
      <c r="CP15" s="390"/>
      <c r="CQ15" s="446"/>
      <c r="CR15" s="488"/>
      <c r="CS15" s="390"/>
      <c r="CT15" s="521"/>
      <c r="CU15" s="433"/>
      <c r="CV15" s="390"/>
      <c r="CW15" s="384"/>
      <c r="CX15" s="387"/>
      <c r="CY15" s="390"/>
      <c r="CZ15" s="464"/>
      <c r="DA15" s="464"/>
      <c r="DB15" s="464"/>
      <c r="DC15" s="390"/>
      <c r="DD15" s="390"/>
      <c r="DE15" s="384"/>
      <c r="DF15" s="387"/>
      <c r="DG15" s="390"/>
      <c r="DH15" s="384"/>
      <c r="DI15" s="387"/>
      <c r="DJ15" s="390"/>
      <c r="DK15" s="384"/>
      <c r="DL15" s="387"/>
      <c r="DM15" s="390"/>
      <c r="DN15" s="48" t="s">
        <v>208</v>
      </c>
      <c r="DO15" s="48" t="s">
        <v>209</v>
      </c>
      <c r="DP15" s="66" t="s">
        <v>210</v>
      </c>
      <c r="DQ15" s="66" t="s">
        <v>224</v>
      </c>
      <c r="DR15" s="71">
        <v>44927</v>
      </c>
      <c r="DS15" s="529"/>
      <c r="DT15" s="529"/>
      <c r="DU15" s="317"/>
      <c r="DV15" s="501"/>
      <c r="DW15" s="308"/>
      <c r="DX15" s="308"/>
      <c r="DY15" s="308"/>
      <c r="DZ15" s="308"/>
      <c r="EA15" s="308"/>
      <c r="EB15" s="308"/>
      <c r="EC15" s="308"/>
      <c r="ED15" s="308"/>
      <c r="EE15" s="492"/>
      <c r="EF15" s="492"/>
    </row>
    <row r="16" spans="1:136" ht="358.5" customHeight="1" x14ac:dyDescent="0.4">
      <c r="A16" s="633"/>
      <c r="B16" s="633"/>
      <c r="C16" s="633"/>
      <c r="D16" s="621"/>
      <c r="E16" s="376"/>
      <c r="F16" s="621"/>
      <c r="G16" s="376"/>
      <c r="H16" s="376"/>
      <c r="I16" s="376"/>
      <c r="J16" s="376"/>
      <c r="K16" s="568"/>
      <c r="L16" s="568"/>
      <c r="M16" s="610"/>
      <c r="N16" s="612"/>
      <c r="O16" s="610"/>
      <c r="P16" s="29"/>
      <c r="Q16" s="29" t="s">
        <v>193</v>
      </c>
      <c r="R16" s="29" t="s">
        <v>232</v>
      </c>
      <c r="S16" s="612"/>
      <c r="T16" s="612"/>
      <c r="U16" s="612"/>
      <c r="V16" s="348"/>
      <c r="W16" s="332"/>
      <c r="X16" s="331"/>
      <c r="Y16" s="348"/>
      <c r="Z16" s="332"/>
      <c r="AA16" s="331"/>
      <c r="AB16" s="348"/>
      <c r="AC16" s="332"/>
      <c r="AD16" s="331"/>
      <c r="AE16" s="348"/>
      <c r="AF16" s="332"/>
      <c r="AG16" s="331"/>
      <c r="AH16" s="348"/>
      <c r="AI16" s="332"/>
      <c r="AJ16" s="331"/>
      <c r="AK16" s="436"/>
      <c r="AL16" s="437"/>
      <c r="AM16" s="437"/>
      <c r="AN16" s="610"/>
      <c r="AO16" s="610"/>
      <c r="AP16" s="420"/>
      <c r="AQ16" s="420"/>
      <c r="AR16" s="129" t="s">
        <v>233</v>
      </c>
      <c r="AS16" s="612"/>
      <c r="AT16" s="30"/>
      <c r="AU16" s="134">
        <v>0.11</v>
      </c>
      <c r="AV16" s="123">
        <v>44958</v>
      </c>
      <c r="AW16" s="124">
        <v>45275</v>
      </c>
      <c r="AX16" s="29">
        <f t="shared" si="0"/>
        <v>317</v>
      </c>
      <c r="AY16" s="612"/>
      <c r="AZ16" s="612"/>
      <c r="BA16" s="356"/>
      <c r="BB16" s="362"/>
      <c r="BC16" s="342"/>
      <c r="BD16" s="356"/>
      <c r="BE16" s="362"/>
      <c r="BF16" s="342"/>
      <c r="BG16" s="356"/>
      <c r="BH16" s="362"/>
      <c r="BI16" s="342"/>
      <c r="BJ16" s="356"/>
      <c r="BK16" s="362"/>
      <c r="BL16" s="342"/>
      <c r="BM16" s="356"/>
      <c r="BN16" s="362"/>
      <c r="BO16" s="342"/>
      <c r="BP16" s="420"/>
      <c r="BQ16" s="420"/>
      <c r="BR16" s="420"/>
      <c r="BS16" s="62">
        <v>66051840</v>
      </c>
      <c r="BT16" s="48" t="s">
        <v>224</v>
      </c>
      <c r="BU16" s="420"/>
      <c r="BV16" s="420"/>
      <c r="BW16" s="752"/>
      <c r="BX16" s="571"/>
      <c r="BY16" s="562"/>
      <c r="BZ16" s="573"/>
      <c r="CA16" s="573"/>
      <c r="CB16" s="573"/>
      <c r="CC16" s="449"/>
      <c r="CD16" s="449"/>
      <c r="CE16" s="467"/>
      <c r="CF16" s="467"/>
      <c r="CG16" s="449"/>
      <c r="CH16" s="474"/>
      <c r="CI16" s="467"/>
      <c r="CJ16" s="449"/>
      <c r="CK16" s="474"/>
      <c r="CL16" s="467"/>
      <c r="CM16" s="449"/>
      <c r="CN16" s="446"/>
      <c r="CO16" s="488"/>
      <c r="CP16" s="390"/>
      <c r="CQ16" s="446"/>
      <c r="CR16" s="488"/>
      <c r="CS16" s="390"/>
      <c r="CT16" s="521"/>
      <c r="CU16" s="433"/>
      <c r="CV16" s="390"/>
      <c r="CW16" s="384"/>
      <c r="CX16" s="387"/>
      <c r="CY16" s="390"/>
      <c r="CZ16" s="464"/>
      <c r="DA16" s="464"/>
      <c r="DB16" s="464"/>
      <c r="DC16" s="390"/>
      <c r="DD16" s="390"/>
      <c r="DE16" s="384"/>
      <c r="DF16" s="387"/>
      <c r="DG16" s="390"/>
      <c r="DH16" s="384"/>
      <c r="DI16" s="387"/>
      <c r="DJ16" s="390"/>
      <c r="DK16" s="384"/>
      <c r="DL16" s="387"/>
      <c r="DM16" s="390"/>
      <c r="DN16" s="48" t="s">
        <v>208</v>
      </c>
      <c r="DO16" s="48" t="s">
        <v>209</v>
      </c>
      <c r="DP16" s="66" t="s">
        <v>210</v>
      </c>
      <c r="DQ16" s="66" t="s">
        <v>224</v>
      </c>
      <c r="DR16" s="71">
        <v>44927</v>
      </c>
      <c r="DS16" s="529"/>
      <c r="DT16" s="529"/>
      <c r="DU16" s="68" t="s">
        <v>234</v>
      </c>
      <c r="DV16" s="502"/>
      <c r="DW16" s="309"/>
      <c r="DX16" s="309"/>
      <c r="DY16" s="309"/>
      <c r="DZ16" s="309"/>
      <c r="EA16" s="309"/>
      <c r="EB16" s="309"/>
      <c r="EC16" s="309"/>
      <c r="ED16" s="309"/>
      <c r="EE16" s="492"/>
      <c r="EF16" s="492"/>
    </row>
    <row r="17" spans="1:136" ht="50.25" customHeight="1" x14ac:dyDescent="0.4">
      <c r="A17" s="633"/>
      <c r="B17" s="633"/>
      <c r="C17" s="633"/>
      <c r="D17" s="621"/>
      <c r="E17" s="376"/>
      <c r="F17" s="621"/>
      <c r="G17" s="376"/>
      <c r="H17" s="376"/>
      <c r="I17" s="376"/>
      <c r="J17" s="376"/>
      <c r="K17" s="568"/>
      <c r="L17" s="568" t="s">
        <v>235</v>
      </c>
      <c r="M17" s="610" t="s">
        <v>189</v>
      </c>
      <c r="N17" s="612">
        <v>50</v>
      </c>
      <c r="O17" s="610" t="s">
        <v>236</v>
      </c>
      <c r="P17" s="436"/>
      <c r="Q17" s="436" t="s">
        <v>193</v>
      </c>
      <c r="R17" s="436" t="s">
        <v>227</v>
      </c>
      <c r="S17" s="612">
        <v>54</v>
      </c>
      <c r="T17" s="612">
        <v>54</v>
      </c>
      <c r="U17" s="612">
        <v>55</v>
      </c>
      <c r="V17" s="349">
        <v>55</v>
      </c>
      <c r="W17" s="332">
        <v>1</v>
      </c>
      <c r="X17" s="332">
        <v>1</v>
      </c>
      <c r="Y17" s="349">
        <v>55</v>
      </c>
      <c r="Z17" s="332">
        <v>1</v>
      </c>
      <c r="AA17" s="332">
        <v>1</v>
      </c>
      <c r="AB17" s="349">
        <v>55</v>
      </c>
      <c r="AC17" s="332">
        <v>1</v>
      </c>
      <c r="AD17" s="332">
        <v>1</v>
      </c>
      <c r="AE17" s="349">
        <v>55</v>
      </c>
      <c r="AF17" s="332">
        <v>1</v>
      </c>
      <c r="AG17" s="332">
        <v>1</v>
      </c>
      <c r="AH17" s="349">
        <v>55</v>
      </c>
      <c r="AI17" s="332">
        <v>1</v>
      </c>
      <c r="AJ17" s="332">
        <v>1</v>
      </c>
      <c r="AK17" s="436"/>
      <c r="AL17" s="437"/>
      <c r="AM17" s="437"/>
      <c r="AN17" s="610"/>
      <c r="AO17" s="610"/>
      <c r="AP17" s="420"/>
      <c r="AQ17" s="420"/>
      <c r="AR17" s="630" t="s">
        <v>237</v>
      </c>
      <c r="AS17" s="612"/>
      <c r="AT17" s="436"/>
      <c r="AU17" s="570">
        <v>0.15</v>
      </c>
      <c r="AV17" s="123">
        <v>44958</v>
      </c>
      <c r="AW17" s="124">
        <v>45275</v>
      </c>
      <c r="AX17" s="436">
        <v>317</v>
      </c>
      <c r="AY17" s="612" t="s">
        <v>238</v>
      </c>
      <c r="AZ17" s="612" t="s">
        <v>238</v>
      </c>
      <c r="BA17" s="365">
        <v>55</v>
      </c>
      <c r="BB17" s="360">
        <v>1</v>
      </c>
      <c r="BC17" s="342"/>
      <c r="BD17" s="365">
        <v>55</v>
      </c>
      <c r="BE17" s="360">
        <v>1</v>
      </c>
      <c r="BF17" s="342"/>
      <c r="BG17" s="365">
        <v>55</v>
      </c>
      <c r="BH17" s="360">
        <v>1</v>
      </c>
      <c r="BI17" s="342"/>
      <c r="BJ17" s="365">
        <v>55</v>
      </c>
      <c r="BK17" s="360">
        <v>1</v>
      </c>
      <c r="BL17" s="342"/>
      <c r="BM17" s="365">
        <v>55</v>
      </c>
      <c r="BN17" s="360">
        <v>1</v>
      </c>
      <c r="BO17" s="342"/>
      <c r="BP17" s="420"/>
      <c r="BQ17" s="420"/>
      <c r="BR17" s="420"/>
      <c r="BS17" s="62">
        <v>526557783</v>
      </c>
      <c r="BT17" s="48" t="s">
        <v>224</v>
      </c>
      <c r="BU17" s="420"/>
      <c r="BV17" s="420"/>
      <c r="BW17" s="752"/>
      <c r="BX17" s="571"/>
      <c r="BY17" s="562"/>
      <c r="BZ17" s="573"/>
      <c r="CA17" s="573"/>
      <c r="CB17" s="573"/>
      <c r="CC17" s="449"/>
      <c r="CD17" s="449"/>
      <c r="CE17" s="467"/>
      <c r="CF17" s="467"/>
      <c r="CG17" s="449"/>
      <c r="CH17" s="474"/>
      <c r="CI17" s="467"/>
      <c r="CJ17" s="449"/>
      <c r="CK17" s="474"/>
      <c r="CL17" s="467"/>
      <c r="CM17" s="449"/>
      <c r="CN17" s="446"/>
      <c r="CO17" s="488"/>
      <c r="CP17" s="390"/>
      <c r="CQ17" s="446"/>
      <c r="CR17" s="488"/>
      <c r="CS17" s="390"/>
      <c r="CT17" s="521"/>
      <c r="CU17" s="433"/>
      <c r="CV17" s="390"/>
      <c r="CW17" s="384"/>
      <c r="CX17" s="387"/>
      <c r="CY17" s="390"/>
      <c r="CZ17" s="464"/>
      <c r="DA17" s="464"/>
      <c r="DB17" s="464"/>
      <c r="DC17" s="390"/>
      <c r="DD17" s="390"/>
      <c r="DE17" s="384"/>
      <c r="DF17" s="387"/>
      <c r="DG17" s="390"/>
      <c r="DH17" s="384"/>
      <c r="DI17" s="387"/>
      <c r="DJ17" s="390"/>
      <c r="DK17" s="384"/>
      <c r="DL17" s="387"/>
      <c r="DM17" s="390"/>
      <c r="DN17" s="48" t="s">
        <v>208</v>
      </c>
      <c r="DO17" s="527" t="s">
        <v>239</v>
      </c>
      <c r="DP17" s="494" t="s">
        <v>240</v>
      </c>
      <c r="DQ17" s="494" t="s">
        <v>241</v>
      </c>
      <c r="DR17" s="514">
        <v>44927</v>
      </c>
      <c r="DS17" s="529"/>
      <c r="DT17" s="529"/>
      <c r="DU17" s="315" t="s">
        <v>242</v>
      </c>
      <c r="DV17" s="315" t="s">
        <v>243</v>
      </c>
      <c r="DW17" s="310" t="s">
        <v>244</v>
      </c>
      <c r="DX17" s="310" t="s">
        <v>245</v>
      </c>
      <c r="DY17" s="310" t="s">
        <v>246</v>
      </c>
      <c r="DZ17" s="310" t="s">
        <v>247</v>
      </c>
      <c r="EA17" s="310" t="s">
        <v>248</v>
      </c>
      <c r="EB17" s="310" t="s">
        <v>754</v>
      </c>
      <c r="EC17" s="310" t="s">
        <v>755</v>
      </c>
      <c r="ED17" s="310" t="s">
        <v>779</v>
      </c>
      <c r="EE17" s="492"/>
      <c r="EF17" s="492"/>
    </row>
    <row r="18" spans="1:136" ht="212.25" customHeight="1" x14ac:dyDescent="0.4">
      <c r="A18" s="633"/>
      <c r="B18" s="633"/>
      <c r="C18" s="633"/>
      <c r="D18" s="621"/>
      <c r="E18" s="376"/>
      <c r="F18" s="621"/>
      <c r="G18" s="376"/>
      <c r="H18" s="376"/>
      <c r="I18" s="376"/>
      <c r="J18" s="376"/>
      <c r="K18" s="568"/>
      <c r="L18" s="568"/>
      <c r="M18" s="610"/>
      <c r="N18" s="612"/>
      <c r="O18" s="610"/>
      <c r="P18" s="436"/>
      <c r="Q18" s="436"/>
      <c r="R18" s="436"/>
      <c r="S18" s="612"/>
      <c r="T18" s="612"/>
      <c r="U18" s="612"/>
      <c r="V18" s="349"/>
      <c r="W18" s="332"/>
      <c r="X18" s="332"/>
      <c r="Y18" s="349"/>
      <c r="Z18" s="332"/>
      <c r="AA18" s="332"/>
      <c r="AB18" s="349"/>
      <c r="AC18" s="332"/>
      <c r="AD18" s="332"/>
      <c r="AE18" s="349"/>
      <c r="AF18" s="332"/>
      <c r="AG18" s="332"/>
      <c r="AH18" s="349"/>
      <c r="AI18" s="332"/>
      <c r="AJ18" s="332"/>
      <c r="AK18" s="436"/>
      <c r="AL18" s="437"/>
      <c r="AM18" s="437"/>
      <c r="AN18" s="610"/>
      <c r="AO18" s="610"/>
      <c r="AP18" s="420"/>
      <c r="AQ18" s="420"/>
      <c r="AR18" s="630"/>
      <c r="AS18" s="612"/>
      <c r="AT18" s="436"/>
      <c r="AU18" s="570"/>
      <c r="AV18" s="123">
        <v>44958</v>
      </c>
      <c r="AW18" s="124">
        <v>45275</v>
      </c>
      <c r="AX18" s="436"/>
      <c r="AY18" s="612"/>
      <c r="AZ18" s="612"/>
      <c r="BA18" s="366"/>
      <c r="BB18" s="362"/>
      <c r="BC18" s="342"/>
      <c r="BD18" s="366"/>
      <c r="BE18" s="362"/>
      <c r="BF18" s="342"/>
      <c r="BG18" s="366"/>
      <c r="BH18" s="362"/>
      <c r="BI18" s="342"/>
      <c r="BJ18" s="366"/>
      <c r="BK18" s="362"/>
      <c r="BL18" s="342"/>
      <c r="BM18" s="366"/>
      <c r="BN18" s="362"/>
      <c r="BO18" s="342"/>
      <c r="BP18" s="420"/>
      <c r="BQ18" s="420"/>
      <c r="BR18" s="420"/>
      <c r="BS18" s="62">
        <v>41113964</v>
      </c>
      <c r="BT18" s="48" t="s">
        <v>205</v>
      </c>
      <c r="BU18" s="420"/>
      <c r="BV18" s="420"/>
      <c r="BW18" s="752"/>
      <c r="BX18" s="571"/>
      <c r="BY18" s="562"/>
      <c r="BZ18" s="574"/>
      <c r="CA18" s="574"/>
      <c r="CB18" s="574"/>
      <c r="CC18" s="450"/>
      <c r="CD18" s="450"/>
      <c r="CE18" s="468"/>
      <c r="CF18" s="468"/>
      <c r="CG18" s="450"/>
      <c r="CH18" s="475"/>
      <c r="CI18" s="468"/>
      <c r="CJ18" s="450"/>
      <c r="CK18" s="475"/>
      <c r="CL18" s="468"/>
      <c r="CM18" s="450"/>
      <c r="CN18" s="447"/>
      <c r="CO18" s="489"/>
      <c r="CP18" s="391"/>
      <c r="CQ18" s="447"/>
      <c r="CR18" s="489"/>
      <c r="CS18" s="391"/>
      <c r="CT18" s="522"/>
      <c r="CU18" s="434"/>
      <c r="CV18" s="391"/>
      <c r="CW18" s="385"/>
      <c r="CX18" s="388"/>
      <c r="CY18" s="391"/>
      <c r="CZ18" s="465"/>
      <c r="DA18" s="465"/>
      <c r="DB18" s="465"/>
      <c r="DC18" s="391"/>
      <c r="DD18" s="391"/>
      <c r="DE18" s="385"/>
      <c r="DF18" s="388"/>
      <c r="DG18" s="391"/>
      <c r="DH18" s="385"/>
      <c r="DI18" s="388"/>
      <c r="DJ18" s="391"/>
      <c r="DK18" s="385"/>
      <c r="DL18" s="388"/>
      <c r="DM18" s="391"/>
      <c r="DN18" s="48" t="s">
        <v>208</v>
      </c>
      <c r="DO18" s="528"/>
      <c r="DP18" s="495"/>
      <c r="DQ18" s="495"/>
      <c r="DR18" s="515"/>
      <c r="DS18" s="495"/>
      <c r="DT18" s="495"/>
      <c r="DU18" s="317"/>
      <c r="DV18" s="317"/>
      <c r="DW18" s="311"/>
      <c r="DX18" s="311"/>
      <c r="DY18" s="311"/>
      <c r="DZ18" s="311"/>
      <c r="EA18" s="311"/>
      <c r="EB18" s="311"/>
      <c r="EC18" s="311"/>
      <c r="ED18" s="311"/>
      <c r="EE18" s="493"/>
      <c r="EF18" s="493"/>
    </row>
    <row r="19" spans="1:136" ht="50.25" customHeight="1" x14ac:dyDescent="0.4">
      <c r="A19" s="633"/>
      <c r="B19" s="633"/>
      <c r="C19" s="633"/>
      <c r="D19" s="621"/>
      <c r="E19" s="376"/>
      <c r="F19" s="621"/>
      <c r="G19" s="376"/>
      <c r="H19" s="376"/>
      <c r="I19" s="376"/>
      <c r="J19" s="376"/>
      <c r="K19" s="568"/>
      <c r="L19" s="568" t="s">
        <v>249</v>
      </c>
      <c r="M19" s="568" t="s">
        <v>189</v>
      </c>
      <c r="N19" s="612">
        <v>10176</v>
      </c>
      <c r="O19" s="610" t="s">
        <v>250</v>
      </c>
      <c r="P19" s="436"/>
      <c r="Q19" s="436" t="s">
        <v>251</v>
      </c>
      <c r="R19" s="436" t="s">
        <v>252</v>
      </c>
      <c r="S19" s="612">
        <v>10176</v>
      </c>
      <c r="T19" s="612">
        <v>7500</v>
      </c>
      <c r="U19" s="612">
        <v>24863</v>
      </c>
      <c r="V19" s="350">
        <f>950+2984+5068+1372</f>
        <v>10374</v>
      </c>
      <c r="W19" s="332">
        <v>1</v>
      </c>
      <c r="X19" s="332">
        <v>1</v>
      </c>
      <c r="Y19" s="350">
        <f>950+2984+5068+1372</f>
        <v>10374</v>
      </c>
      <c r="Z19" s="332">
        <v>1</v>
      </c>
      <c r="AA19" s="332">
        <v>1</v>
      </c>
      <c r="AB19" s="350">
        <f>950+2984+5068+1372</f>
        <v>10374</v>
      </c>
      <c r="AC19" s="332">
        <v>1</v>
      </c>
      <c r="AD19" s="332">
        <v>1</v>
      </c>
      <c r="AE19" s="350">
        <f>950+2984+5068+1372</f>
        <v>10374</v>
      </c>
      <c r="AF19" s="332">
        <v>1</v>
      </c>
      <c r="AG19" s="332">
        <v>1</v>
      </c>
      <c r="AH19" s="350">
        <f>950+2984+5068+1372</f>
        <v>10374</v>
      </c>
      <c r="AI19" s="332">
        <v>1</v>
      </c>
      <c r="AJ19" s="332">
        <v>1</v>
      </c>
      <c r="AK19" s="436" t="s">
        <v>195</v>
      </c>
      <c r="AL19" s="437" t="s">
        <v>196</v>
      </c>
      <c r="AM19" s="437" t="s">
        <v>197</v>
      </c>
      <c r="AN19" s="610" t="s">
        <v>253</v>
      </c>
      <c r="AO19" s="569" t="s">
        <v>254</v>
      </c>
      <c r="AP19" s="420">
        <v>2020130010194</v>
      </c>
      <c r="AQ19" s="420" t="s">
        <v>255</v>
      </c>
      <c r="AR19" s="101" t="s">
        <v>256</v>
      </c>
      <c r="AS19" s="612"/>
      <c r="AT19" s="30"/>
      <c r="AU19" s="134">
        <v>0.1</v>
      </c>
      <c r="AV19" s="123">
        <v>44958</v>
      </c>
      <c r="AW19" s="124">
        <v>45275</v>
      </c>
      <c r="AX19" s="29">
        <f t="shared" ref="AX19:AX24" si="1">+AW19-AV19</f>
        <v>317</v>
      </c>
      <c r="AY19" s="612">
        <v>7500</v>
      </c>
      <c r="AZ19" s="612">
        <v>0</v>
      </c>
      <c r="BA19" s="350">
        <f>950+2984+5068+1372</f>
        <v>10374</v>
      </c>
      <c r="BB19" s="360">
        <v>1</v>
      </c>
      <c r="BC19" s="342"/>
      <c r="BD19" s="350">
        <f>950+2984+5068+1372</f>
        <v>10374</v>
      </c>
      <c r="BE19" s="360">
        <v>1</v>
      </c>
      <c r="BF19" s="342"/>
      <c r="BG19" s="350">
        <f>950+2984+5068+1372</f>
        <v>10374</v>
      </c>
      <c r="BH19" s="360">
        <v>1</v>
      </c>
      <c r="BI19" s="342"/>
      <c r="BJ19" s="350">
        <f>950+2984+5068+1372</f>
        <v>10374</v>
      </c>
      <c r="BK19" s="360">
        <v>1</v>
      </c>
      <c r="BL19" s="342"/>
      <c r="BM19" s="350">
        <f>950+2984+5068+1372</f>
        <v>10374</v>
      </c>
      <c r="BN19" s="360">
        <v>1</v>
      </c>
      <c r="BO19" s="342"/>
      <c r="BP19" s="420" t="s">
        <v>202</v>
      </c>
      <c r="BQ19" s="420" t="s">
        <v>203</v>
      </c>
      <c r="BR19" s="420" t="s">
        <v>204</v>
      </c>
      <c r="BS19" s="60">
        <v>109613460</v>
      </c>
      <c r="BT19" s="48" t="s">
        <v>224</v>
      </c>
      <c r="BU19" s="420" t="s">
        <v>257</v>
      </c>
      <c r="BV19" s="420" t="s">
        <v>258</v>
      </c>
      <c r="BW19" s="461">
        <v>444086994</v>
      </c>
      <c r="BX19" s="461">
        <v>168462900</v>
      </c>
      <c r="BY19" s="462">
        <f>BX19/BW19</f>
        <v>0.37934661964002486</v>
      </c>
      <c r="BZ19" s="455">
        <v>444086994</v>
      </c>
      <c r="CA19" s="455">
        <v>168462900</v>
      </c>
      <c r="CB19" s="455">
        <v>0</v>
      </c>
      <c r="CC19" s="417">
        <f>CA19/BZ19</f>
        <v>0.37934661964002486</v>
      </c>
      <c r="CD19" s="417">
        <v>0</v>
      </c>
      <c r="CE19" s="451">
        <v>444086994</v>
      </c>
      <c r="CF19" s="451">
        <v>168462900</v>
      </c>
      <c r="CG19" s="417">
        <f>CF19/CE19</f>
        <v>0.37934661964002486</v>
      </c>
      <c r="CH19" s="451">
        <v>444086994</v>
      </c>
      <c r="CI19" s="451">
        <v>168462900</v>
      </c>
      <c r="CJ19" s="417">
        <f>CI19/CH19</f>
        <v>0.37934661964002486</v>
      </c>
      <c r="CK19" s="451">
        <v>444086994</v>
      </c>
      <c r="CL19" s="451">
        <v>168462900</v>
      </c>
      <c r="CM19" s="417">
        <f>CL19/CK19</f>
        <v>0.37934661964002486</v>
      </c>
      <c r="CN19" s="487">
        <v>444086994</v>
      </c>
      <c r="CO19" s="487">
        <v>168462900</v>
      </c>
      <c r="CP19" s="389">
        <f>CO19/CN19</f>
        <v>0.37934661964002486</v>
      </c>
      <c r="CQ19" s="487">
        <v>444086994</v>
      </c>
      <c r="CR19" s="487">
        <v>168462900</v>
      </c>
      <c r="CS19" s="389">
        <f>CO19/CN19</f>
        <v>0.37934661964002486</v>
      </c>
      <c r="CT19" s="354">
        <v>444086994</v>
      </c>
      <c r="CU19" s="589">
        <v>168462900</v>
      </c>
      <c r="CV19" s="389">
        <f>CR19/CQ19</f>
        <v>0.37934661964002486</v>
      </c>
      <c r="CW19" s="354">
        <v>444086994</v>
      </c>
      <c r="CX19" s="394">
        <v>169785548.56</v>
      </c>
      <c r="CY19" s="389">
        <f>CX19/CW19</f>
        <v>0.38232497428195344</v>
      </c>
      <c r="CZ19" s="463">
        <v>444086994</v>
      </c>
      <c r="DA19" s="463">
        <v>299508650</v>
      </c>
      <c r="DB19" s="463">
        <v>299508650</v>
      </c>
      <c r="DC19" s="389">
        <f>DA19/CZ19</f>
        <v>0.6744368874716471</v>
      </c>
      <c r="DD19" s="389">
        <f>DB19/CZ19</f>
        <v>0.6744368874716471</v>
      </c>
      <c r="DE19" s="354">
        <v>444086994</v>
      </c>
      <c r="DF19" s="394">
        <v>300355698.37</v>
      </c>
      <c r="DG19" s="389">
        <f>DF19/DE19</f>
        <v>0.67634428035061978</v>
      </c>
      <c r="DH19" s="354">
        <v>444086994</v>
      </c>
      <c r="DI19" s="394">
        <v>317552946.37</v>
      </c>
      <c r="DJ19" s="389">
        <f>DI19/DH19</f>
        <v>0.7150692334169102</v>
      </c>
      <c r="DK19" s="354">
        <v>444086994</v>
      </c>
      <c r="DL19" s="394">
        <v>385883753.30000001</v>
      </c>
      <c r="DM19" s="389">
        <f>DL19/DK19</f>
        <v>0.86893729947875942</v>
      </c>
      <c r="DN19" s="48" t="s">
        <v>208</v>
      </c>
      <c r="DO19" s="48" t="s">
        <v>209</v>
      </c>
      <c r="DP19" s="66" t="s">
        <v>210</v>
      </c>
      <c r="DQ19" s="66" t="s">
        <v>224</v>
      </c>
      <c r="DR19" s="71">
        <v>44927</v>
      </c>
      <c r="DS19" s="496" t="s">
        <v>259</v>
      </c>
      <c r="DT19" s="315" t="s">
        <v>260</v>
      </c>
      <c r="DU19" s="315" t="s">
        <v>261</v>
      </c>
      <c r="DV19" s="315" t="s">
        <v>262</v>
      </c>
      <c r="DW19" s="310" t="s">
        <v>263</v>
      </c>
      <c r="DX19" s="310" t="s">
        <v>264</v>
      </c>
      <c r="DY19" s="310" t="s">
        <v>265</v>
      </c>
      <c r="DZ19" s="310" t="s">
        <v>266</v>
      </c>
      <c r="EA19" s="310" t="s">
        <v>267</v>
      </c>
      <c r="EB19" s="310" t="s">
        <v>268</v>
      </c>
      <c r="EC19" s="310" t="s">
        <v>729</v>
      </c>
      <c r="ED19" s="310" t="s">
        <v>773</v>
      </c>
      <c r="EE19" s="496" t="s">
        <v>221</v>
      </c>
      <c r="EF19" s="496" t="s">
        <v>269</v>
      </c>
    </row>
    <row r="20" spans="1:136" ht="50.25" customHeight="1" x14ac:dyDescent="0.4">
      <c r="A20" s="633"/>
      <c r="B20" s="633"/>
      <c r="C20" s="633"/>
      <c r="D20" s="621"/>
      <c r="E20" s="376"/>
      <c r="F20" s="621"/>
      <c r="G20" s="376"/>
      <c r="H20" s="376"/>
      <c r="I20" s="376"/>
      <c r="J20" s="376"/>
      <c r="K20" s="568"/>
      <c r="L20" s="568"/>
      <c r="M20" s="568"/>
      <c r="N20" s="612"/>
      <c r="O20" s="610"/>
      <c r="P20" s="436"/>
      <c r="Q20" s="436"/>
      <c r="R20" s="436"/>
      <c r="S20" s="612"/>
      <c r="T20" s="612"/>
      <c r="U20" s="612"/>
      <c r="V20" s="350"/>
      <c r="W20" s="332"/>
      <c r="X20" s="332"/>
      <c r="Y20" s="350"/>
      <c r="Z20" s="332"/>
      <c r="AA20" s="332"/>
      <c r="AB20" s="350"/>
      <c r="AC20" s="332"/>
      <c r="AD20" s="332"/>
      <c r="AE20" s="350"/>
      <c r="AF20" s="332"/>
      <c r="AG20" s="332"/>
      <c r="AH20" s="350"/>
      <c r="AI20" s="332"/>
      <c r="AJ20" s="332"/>
      <c r="AK20" s="436"/>
      <c r="AL20" s="437"/>
      <c r="AM20" s="437"/>
      <c r="AN20" s="610"/>
      <c r="AO20" s="569"/>
      <c r="AP20" s="420"/>
      <c r="AQ20" s="420"/>
      <c r="AR20" s="101" t="s">
        <v>270</v>
      </c>
      <c r="AS20" s="612"/>
      <c r="AT20" s="30"/>
      <c r="AU20" s="134">
        <v>0.16</v>
      </c>
      <c r="AV20" s="123">
        <v>44958</v>
      </c>
      <c r="AW20" s="124">
        <v>45275</v>
      </c>
      <c r="AX20" s="29">
        <f t="shared" si="1"/>
        <v>317</v>
      </c>
      <c r="AY20" s="612"/>
      <c r="AZ20" s="612"/>
      <c r="BA20" s="350"/>
      <c r="BB20" s="361"/>
      <c r="BC20" s="342"/>
      <c r="BD20" s="350"/>
      <c r="BE20" s="361"/>
      <c r="BF20" s="342"/>
      <c r="BG20" s="350"/>
      <c r="BH20" s="361"/>
      <c r="BI20" s="342"/>
      <c r="BJ20" s="350"/>
      <c r="BK20" s="361"/>
      <c r="BL20" s="342"/>
      <c r="BM20" s="350"/>
      <c r="BN20" s="361"/>
      <c r="BO20" s="342"/>
      <c r="BP20" s="420"/>
      <c r="BQ20" s="420"/>
      <c r="BR20" s="420"/>
      <c r="BS20" s="60">
        <v>15601410</v>
      </c>
      <c r="BT20" s="48" t="s">
        <v>224</v>
      </c>
      <c r="BU20" s="420"/>
      <c r="BV20" s="420"/>
      <c r="BW20" s="461"/>
      <c r="BX20" s="461"/>
      <c r="BY20" s="462"/>
      <c r="BZ20" s="456"/>
      <c r="CA20" s="456"/>
      <c r="CB20" s="456"/>
      <c r="CC20" s="418"/>
      <c r="CD20" s="418"/>
      <c r="CE20" s="452"/>
      <c r="CF20" s="452"/>
      <c r="CG20" s="418"/>
      <c r="CH20" s="452"/>
      <c r="CI20" s="452"/>
      <c r="CJ20" s="418"/>
      <c r="CK20" s="452"/>
      <c r="CL20" s="452"/>
      <c r="CM20" s="418"/>
      <c r="CN20" s="488"/>
      <c r="CO20" s="488"/>
      <c r="CP20" s="390"/>
      <c r="CQ20" s="488"/>
      <c r="CR20" s="488"/>
      <c r="CS20" s="390"/>
      <c r="CT20" s="525"/>
      <c r="CU20" s="523"/>
      <c r="CV20" s="390"/>
      <c r="CW20" s="392"/>
      <c r="CX20" s="395"/>
      <c r="CY20" s="390"/>
      <c r="CZ20" s="464"/>
      <c r="DA20" s="464"/>
      <c r="DB20" s="464"/>
      <c r="DC20" s="390"/>
      <c r="DD20" s="390"/>
      <c r="DE20" s="392"/>
      <c r="DF20" s="395"/>
      <c r="DG20" s="390"/>
      <c r="DH20" s="392"/>
      <c r="DI20" s="395"/>
      <c r="DJ20" s="390"/>
      <c r="DK20" s="392"/>
      <c r="DL20" s="395"/>
      <c r="DM20" s="390"/>
      <c r="DN20" s="48" t="s">
        <v>208</v>
      </c>
      <c r="DO20" s="48" t="s">
        <v>209</v>
      </c>
      <c r="DP20" s="66" t="s">
        <v>210</v>
      </c>
      <c r="DQ20" s="66" t="s">
        <v>224</v>
      </c>
      <c r="DR20" s="71">
        <v>44927</v>
      </c>
      <c r="DS20" s="492"/>
      <c r="DT20" s="316"/>
      <c r="DU20" s="316"/>
      <c r="DV20" s="316"/>
      <c r="DW20" s="312"/>
      <c r="DX20" s="312"/>
      <c r="DY20" s="312"/>
      <c r="DZ20" s="312"/>
      <c r="EA20" s="312"/>
      <c r="EB20" s="312"/>
      <c r="EC20" s="312"/>
      <c r="ED20" s="312"/>
      <c r="EE20" s="492"/>
      <c r="EF20" s="492"/>
    </row>
    <row r="21" spans="1:136" ht="50.25" customHeight="1" x14ac:dyDescent="0.4">
      <c r="A21" s="633"/>
      <c r="B21" s="633"/>
      <c r="C21" s="633"/>
      <c r="D21" s="621"/>
      <c r="E21" s="376"/>
      <c r="F21" s="621"/>
      <c r="G21" s="376"/>
      <c r="H21" s="376"/>
      <c r="I21" s="376"/>
      <c r="J21" s="376"/>
      <c r="K21" s="568"/>
      <c r="L21" s="568"/>
      <c r="M21" s="568"/>
      <c r="N21" s="612"/>
      <c r="O21" s="610"/>
      <c r="P21" s="436"/>
      <c r="Q21" s="436"/>
      <c r="R21" s="436"/>
      <c r="S21" s="612"/>
      <c r="T21" s="612"/>
      <c r="U21" s="612"/>
      <c r="V21" s="350"/>
      <c r="W21" s="332"/>
      <c r="X21" s="332"/>
      <c r="Y21" s="350"/>
      <c r="Z21" s="332"/>
      <c r="AA21" s="332"/>
      <c r="AB21" s="350"/>
      <c r="AC21" s="332"/>
      <c r="AD21" s="332"/>
      <c r="AE21" s="350"/>
      <c r="AF21" s="332"/>
      <c r="AG21" s="332"/>
      <c r="AH21" s="350"/>
      <c r="AI21" s="332"/>
      <c r="AJ21" s="332"/>
      <c r="AK21" s="436"/>
      <c r="AL21" s="437"/>
      <c r="AM21" s="437"/>
      <c r="AN21" s="610"/>
      <c r="AO21" s="569"/>
      <c r="AP21" s="420"/>
      <c r="AQ21" s="420"/>
      <c r="AR21" s="101" t="s">
        <v>271</v>
      </c>
      <c r="AS21" s="612"/>
      <c r="AT21" s="30"/>
      <c r="AU21" s="134">
        <v>0.43</v>
      </c>
      <c r="AV21" s="123">
        <v>44958</v>
      </c>
      <c r="AW21" s="124">
        <v>45280</v>
      </c>
      <c r="AX21" s="29">
        <f t="shared" si="1"/>
        <v>322</v>
      </c>
      <c r="AY21" s="612"/>
      <c r="AZ21" s="612"/>
      <c r="BA21" s="350"/>
      <c r="BB21" s="361"/>
      <c r="BC21" s="342"/>
      <c r="BD21" s="350"/>
      <c r="BE21" s="361"/>
      <c r="BF21" s="342"/>
      <c r="BG21" s="350"/>
      <c r="BH21" s="361"/>
      <c r="BI21" s="342"/>
      <c r="BJ21" s="350"/>
      <c r="BK21" s="361"/>
      <c r="BL21" s="342"/>
      <c r="BM21" s="350"/>
      <c r="BN21" s="361"/>
      <c r="BO21" s="342"/>
      <c r="BP21" s="420"/>
      <c r="BQ21" s="420"/>
      <c r="BR21" s="420"/>
      <c r="BS21" s="60">
        <v>40448100</v>
      </c>
      <c r="BT21" s="48" t="s">
        <v>224</v>
      </c>
      <c r="BU21" s="420"/>
      <c r="BV21" s="420"/>
      <c r="BW21" s="461"/>
      <c r="BX21" s="461"/>
      <c r="BY21" s="462"/>
      <c r="BZ21" s="456"/>
      <c r="CA21" s="456"/>
      <c r="CB21" s="456"/>
      <c r="CC21" s="418"/>
      <c r="CD21" s="418"/>
      <c r="CE21" s="452"/>
      <c r="CF21" s="452"/>
      <c r="CG21" s="418"/>
      <c r="CH21" s="452"/>
      <c r="CI21" s="452"/>
      <c r="CJ21" s="418"/>
      <c r="CK21" s="452"/>
      <c r="CL21" s="452"/>
      <c r="CM21" s="418"/>
      <c r="CN21" s="488"/>
      <c r="CO21" s="488"/>
      <c r="CP21" s="390"/>
      <c r="CQ21" s="488"/>
      <c r="CR21" s="488"/>
      <c r="CS21" s="390"/>
      <c r="CT21" s="525"/>
      <c r="CU21" s="523"/>
      <c r="CV21" s="390"/>
      <c r="CW21" s="392"/>
      <c r="CX21" s="395"/>
      <c r="CY21" s="390"/>
      <c r="CZ21" s="464"/>
      <c r="DA21" s="464"/>
      <c r="DB21" s="464"/>
      <c r="DC21" s="390"/>
      <c r="DD21" s="390"/>
      <c r="DE21" s="392"/>
      <c r="DF21" s="395"/>
      <c r="DG21" s="390"/>
      <c r="DH21" s="392"/>
      <c r="DI21" s="395"/>
      <c r="DJ21" s="390"/>
      <c r="DK21" s="392"/>
      <c r="DL21" s="395"/>
      <c r="DM21" s="390"/>
      <c r="DN21" s="48" t="s">
        <v>208</v>
      </c>
      <c r="DO21" s="48" t="s">
        <v>209</v>
      </c>
      <c r="DP21" s="66" t="s">
        <v>210</v>
      </c>
      <c r="DQ21" s="66" t="s">
        <v>224</v>
      </c>
      <c r="DR21" s="71">
        <v>44927</v>
      </c>
      <c r="DS21" s="492"/>
      <c r="DT21" s="316"/>
      <c r="DU21" s="316"/>
      <c r="DV21" s="316"/>
      <c r="DW21" s="312"/>
      <c r="DX21" s="312"/>
      <c r="DY21" s="312"/>
      <c r="DZ21" s="312"/>
      <c r="EA21" s="312"/>
      <c r="EB21" s="312"/>
      <c r="EC21" s="312"/>
      <c r="ED21" s="312"/>
      <c r="EE21" s="492"/>
      <c r="EF21" s="492"/>
    </row>
    <row r="22" spans="1:136" ht="50.25" customHeight="1" x14ac:dyDescent="0.4">
      <c r="A22" s="633"/>
      <c r="B22" s="633"/>
      <c r="C22" s="633"/>
      <c r="D22" s="621"/>
      <c r="E22" s="376"/>
      <c r="F22" s="621"/>
      <c r="G22" s="376"/>
      <c r="H22" s="376"/>
      <c r="I22" s="376"/>
      <c r="J22" s="376"/>
      <c r="K22" s="568"/>
      <c r="L22" s="568"/>
      <c r="M22" s="568"/>
      <c r="N22" s="612"/>
      <c r="O22" s="610"/>
      <c r="P22" s="436"/>
      <c r="Q22" s="436" t="s">
        <v>251</v>
      </c>
      <c r="R22" s="436" t="s">
        <v>272</v>
      </c>
      <c r="S22" s="612"/>
      <c r="T22" s="612"/>
      <c r="U22" s="612"/>
      <c r="V22" s="350"/>
      <c r="W22" s="332"/>
      <c r="X22" s="332"/>
      <c r="Y22" s="350"/>
      <c r="Z22" s="332"/>
      <c r="AA22" s="332"/>
      <c r="AB22" s="350"/>
      <c r="AC22" s="332"/>
      <c r="AD22" s="332"/>
      <c r="AE22" s="350"/>
      <c r="AF22" s="332"/>
      <c r="AG22" s="332"/>
      <c r="AH22" s="350"/>
      <c r="AI22" s="332"/>
      <c r="AJ22" s="332"/>
      <c r="AK22" s="436"/>
      <c r="AL22" s="437"/>
      <c r="AM22" s="437"/>
      <c r="AN22" s="610"/>
      <c r="AO22" s="569"/>
      <c r="AP22" s="420"/>
      <c r="AQ22" s="420"/>
      <c r="AR22" s="101" t="s">
        <v>273</v>
      </c>
      <c r="AS22" s="612"/>
      <c r="AT22" s="30"/>
      <c r="AU22" s="134">
        <v>0.16</v>
      </c>
      <c r="AV22" s="123">
        <v>44958</v>
      </c>
      <c r="AW22" s="124">
        <v>45275</v>
      </c>
      <c r="AX22" s="29">
        <f t="shared" si="1"/>
        <v>317</v>
      </c>
      <c r="AY22" s="612"/>
      <c r="AZ22" s="612"/>
      <c r="BA22" s="350"/>
      <c r="BB22" s="361"/>
      <c r="BC22" s="342"/>
      <c r="BD22" s="350"/>
      <c r="BE22" s="361"/>
      <c r="BF22" s="342"/>
      <c r="BG22" s="350"/>
      <c r="BH22" s="361"/>
      <c r="BI22" s="342"/>
      <c r="BJ22" s="350"/>
      <c r="BK22" s="361"/>
      <c r="BL22" s="342"/>
      <c r="BM22" s="350"/>
      <c r="BN22" s="361"/>
      <c r="BO22" s="342"/>
      <c r="BP22" s="420"/>
      <c r="BQ22" s="420"/>
      <c r="BR22" s="420"/>
      <c r="BS22" s="62">
        <v>252822614</v>
      </c>
      <c r="BT22" s="48" t="s">
        <v>224</v>
      </c>
      <c r="BU22" s="420"/>
      <c r="BV22" s="420"/>
      <c r="BW22" s="461"/>
      <c r="BX22" s="461"/>
      <c r="BY22" s="462"/>
      <c r="BZ22" s="456"/>
      <c r="CA22" s="456"/>
      <c r="CB22" s="456"/>
      <c r="CC22" s="418"/>
      <c r="CD22" s="418"/>
      <c r="CE22" s="452"/>
      <c r="CF22" s="452"/>
      <c r="CG22" s="418"/>
      <c r="CH22" s="452"/>
      <c r="CI22" s="452"/>
      <c r="CJ22" s="418"/>
      <c r="CK22" s="452"/>
      <c r="CL22" s="452"/>
      <c r="CM22" s="418"/>
      <c r="CN22" s="488"/>
      <c r="CO22" s="488"/>
      <c r="CP22" s="390"/>
      <c r="CQ22" s="488"/>
      <c r="CR22" s="488"/>
      <c r="CS22" s="390"/>
      <c r="CT22" s="525"/>
      <c r="CU22" s="523"/>
      <c r="CV22" s="390"/>
      <c r="CW22" s="392"/>
      <c r="CX22" s="395"/>
      <c r="CY22" s="390"/>
      <c r="CZ22" s="464"/>
      <c r="DA22" s="464"/>
      <c r="DB22" s="464"/>
      <c r="DC22" s="390"/>
      <c r="DD22" s="390"/>
      <c r="DE22" s="392"/>
      <c r="DF22" s="395"/>
      <c r="DG22" s="390"/>
      <c r="DH22" s="392"/>
      <c r="DI22" s="395"/>
      <c r="DJ22" s="390"/>
      <c r="DK22" s="392"/>
      <c r="DL22" s="395"/>
      <c r="DM22" s="390"/>
      <c r="DN22" s="48" t="s">
        <v>208</v>
      </c>
      <c r="DO22" s="48" t="s">
        <v>274</v>
      </c>
      <c r="DP22" s="66" t="s">
        <v>275</v>
      </c>
      <c r="DQ22" s="66" t="s">
        <v>224</v>
      </c>
      <c r="DR22" s="71">
        <v>44986</v>
      </c>
      <c r="DS22" s="492"/>
      <c r="DT22" s="316"/>
      <c r="DU22" s="316"/>
      <c r="DV22" s="316"/>
      <c r="DW22" s="312"/>
      <c r="DX22" s="312"/>
      <c r="DY22" s="312"/>
      <c r="DZ22" s="312"/>
      <c r="EA22" s="312"/>
      <c r="EB22" s="312"/>
      <c r="EC22" s="312"/>
      <c r="ED22" s="312"/>
      <c r="EE22" s="492"/>
      <c r="EF22" s="492"/>
    </row>
    <row r="23" spans="1:136" ht="50.25" customHeight="1" x14ac:dyDescent="0.4">
      <c r="A23" s="633"/>
      <c r="B23" s="633"/>
      <c r="C23" s="633"/>
      <c r="D23" s="621"/>
      <c r="E23" s="376"/>
      <c r="F23" s="621"/>
      <c r="G23" s="376"/>
      <c r="H23" s="376"/>
      <c r="I23" s="376"/>
      <c r="J23" s="376"/>
      <c r="K23" s="568"/>
      <c r="L23" s="568"/>
      <c r="M23" s="568"/>
      <c r="N23" s="612"/>
      <c r="O23" s="610"/>
      <c r="P23" s="436"/>
      <c r="Q23" s="436"/>
      <c r="R23" s="436"/>
      <c r="S23" s="612"/>
      <c r="T23" s="612"/>
      <c r="U23" s="612"/>
      <c r="V23" s="350"/>
      <c r="W23" s="332"/>
      <c r="X23" s="332"/>
      <c r="Y23" s="350"/>
      <c r="Z23" s="332"/>
      <c r="AA23" s="332"/>
      <c r="AB23" s="350"/>
      <c r="AC23" s="332"/>
      <c r="AD23" s="332"/>
      <c r="AE23" s="350"/>
      <c r="AF23" s="332"/>
      <c r="AG23" s="332"/>
      <c r="AH23" s="350"/>
      <c r="AI23" s="332"/>
      <c r="AJ23" s="332"/>
      <c r="AK23" s="436"/>
      <c r="AL23" s="437"/>
      <c r="AM23" s="437"/>
      <c r="AN23" s="610"/>
      <c r="AO23" s="569"/>
      <c r="AP23" s="420"/>
      <c r="AQ23" s="420"/>
      <c r="AR23" s="101" t="s">
        <v>276</v>
      </c>
      <c r="AS23" s="612"/>
      <c r="AT23" s="30"/>
      <c r="AU23" s="134">
        <v>0.1</v>
      </c>
      <c r="AV23" s="123">
        <v>44958</v>
      </c>
      <c r="AW23" s="124">
        <v>45275</v>
      </c>
      <c r="AX23" s="29">
        <f t="shared" si="1"/>
        <v>317</v>
      </c>
      <c r="AY23" s="612"/>
      <c r="AZ23" s="612"/>
      <c r="BA23" s="350"/>
      <c r="BB23" s="361"/>
      <c r="BC23" s="342"/>
      <c r="BD23" s="350"/>
      <c r="BE23" s="361"/>
      <c r="BF23" s="342"/>
      <c r="BG23" s="350"/>
      <c r="BH23" s="361"/>
      <c r="BI23" s="342"/>
      <c r="BJ23" s="350"/>
      <c r="BK23" s="361"/>
      <c r="BL23" s="342"/>
      <c r="BM23" s="350"/>
      <c r="BN23" s="361"/>
      <c r="BO23" s="342"/>
      <c r="BP23" s="420"/>
      <c r="BQ23" s="420"/>
      <c r="BR23" s="420"/>
      <c r="BS23" s="62">
        <v>15601410</v>
      </c>
      <c r="BT23" s="48" t="s">
        <v>224</v>
      </c>
      <c r="BU23" s="420"/>
      <c r="BV23" s="420"/>
      <c r="BW23" s="461"/>
      <c r="BX23" s="461"/>
      <c r="BY23" s="462"/>
      <c r="BZ23" s="456"/>
      <c r="CA23" s="456"/>
      <c r="CB23" s="456"/>
      <c r="CC23" s="418"/>
      <c r="CD23" s="418"/>
      <c r="CE23" s="452"/>
      <c r="CF23" s="452"/>
      <c r="CG23" s="418"/>
      <c r="CH23" s="452"/>
      <c r="CI23" s="452"/>
      <c r="CJ23" s="418"/>
      <c r="CK23" s="452"/>
      <c r="CL23" s="452"/>
      <c r="CM23" s="418"/>
      <c r="CN23" s="488"/>
      <c r="CO23" s="488"/>
      <c r="CP23" s="390"/>
      <c r="CQ23" s="488"/>
      <c r="CR23" s="488"/>
      <c r="CS23" s="390"/>
      <c r="CT23" s="525"/>
      <c r="CU23" s="523"/>
      <c r="CV23" s="390"/>
      <c r="CW23" s="392"/>
      <c r="CX23" s="395"/>
      <c r="CY23" s="390"/>
      <c r="CZ23" s="464"/>
      <c r="DA23" s="464"/>
      <c r="DB23" s="464"/>
      <c r="DC23" s="390"/>
      <c r="DD23" s="390"/>
      <c r="DE23" s="392"/>
      <c r="DF23" s="395"/>
      <c r="DG23" s="390"/>
      <c r="DH23" s="392"/>
      <c r="DI23" s="395"/>
      <c r="DJ23" s="390"/>
      <c r="DK23" s="392"/>
      <c r="DL23" s="395"/>
      <c r="DM23" s="390"/>
      <c r="DN23" s="48" t="s">
        <v>208</v>
      </c>
      <c r="DO23" s="48" t="s">
        <v>209</v>
      </c>
      <c r="DP23" s="66" t="s">
        <v>210</v>
      </c>
      <c r="DQ23" s="66" t="s">
        <v>224</v>
      </c>
      <c r="DR23" s="71">
        <v>44927</v>
      </c>
      <c r="DS23" s="492"/>
      <c r="DT23" s="316"/>
      <c r="DU23" s="317"/>
      <c r="DV23" s="316"/>
      <c r="DW23" s="312"/>
      <c r="DX23" s="312"/>
      <c r="DY23" s="312"/>
      <c r="DZ23" s="312"/>
      <c r="EA23" s="312"/>
      <c r="EB23" s="312"/>
      <c r="EC23" s="312"/>
      <c r="ED23" s="312"/>
      <c r="EE23" s="492"/>
      <c r="EF23" s="492"/>
    </row>
    <row r="24" spans="1:136" ht="144" customHeight="1" x14ac:dyDescent="0.4">
      <c r="A24" s="633"/>
      <c r="B24" s="633"/>
      <c r="C24" s="633"/>
      <c r="D24" s="621"/>
      <c r="E24" s="376"/>
      <c r="F24" s="621"/>
      <c r="G24" s="376"/>
      <c r="H24" s="376"/>
      <c r="I24" s="376"/>
      <c r="J24" s="376"/>
      <c r="K24" s="568"/>
      <c r="L24" s="568"/>
      <c r="M24" s="568"/>
      <c r="N24" s="612"/>
      <c r="O24" s="610"/>
      <c r="P24" s="436"/>
      <c r="Q24" s="436"/>
      <c r="R24" s="436"/>
      <c r="S24" s="612"/>
      <c r="T24" s="612"/>
      <c r="U24" s="612"/>
      <c r="V24" s="350"/>
      <c r="W24" s="332"/>
      <c r="X24" s="332"/>
      <c r="Y24" s="350"/>
      <c r="Z24" s="332"/>
      <c r="AA24" s="332"/>
      <c r="AB24" s="350"/>
      <c r="AC24" s="332"/>
      <c r="AD24" s="332"/>
      <c r="AE24" s="350"/>
      <c r="AF24" s="332"/>
      <c r="AG24" s="332"/>
      <c r="AH24" s="350"/>
      <c r="AI24" s="332"/>
      <c r="AJ24" s="332"/>
      <c r="AK24" s="436"/>
      <c r="AL24" s="437"/>
      <c r="AM24" s="437"/>
      <c r="AN24" s="610"/>
      <c r="AO24" s="569"/>
      <c r="AP24" s="420"/>
      <c r="AQ24" s="420"/>
      <c r="AR24" s="101" t="s">
        <v>277</v>
      </c>
      <c r="AS24" s="612"/>
      <c r="AT24" s="30"/>
      <c r="AU24" s="134">
        <v>0.05</v>
      </c>
      <c r="AV24" s="123">
        <v>44958</v>
      </c>
      <c r="AW24" s="124">
        <v>45275</v>
      </c>
      <c r="AX24" s="29">
        <f t="shared" si="1"/>
        <v>317</v>
      </c>
      <c r="AY24" s="612"/>
      <c r="AZ24" s="612"/>
      <c r="BA24" s="350"/>
      <c r="BB24" s="362"/>
      <c r="BC24" s="343"/>
      <c r="BD24" s="350"/>
      <c r="BE24" s="362"/>
      <c r="BF24" s="343"/>
      <c r="BG24" s="350"/>
      <c r="BH24" s="362"/>
      <c r="BI24" s="343"/>
      <c r="BJ24" s="350"/>
      <c r="BK24" s="362"/>
      <c r="BL24" s="343"/>
      <c r="BM24" s="350"/>
      <c r="BN24" s="362"/>
      <c r="BO24" s="343"/>
      <c r="BP24" s="420"/>
      <c r="BQ24" s="420"/>
      <c r="BR24" s="420"/>
      <c r="BS24" s="62">
        <v>10000000</v>
      </c>
      <c r="BT24" s="48" t="s">
        <v>224</v>
      </c>
      <c r="BU24" s="420"/>
      <c r="BV24" s="420"/>
      <c r="BW24" s="461"/>
      <c r="BX24" s="461"/>
      <c r="BY24" s="462"/>
      <c r="BZ24" s="457"/>
      <c r="CA24" s="457"/>
      <c r="CB24" s="457"/>
      <c r="CC24" s="419"/>
      <c r="CD24" s="419"/>
      <c r="CE24" s="453"/>
      <c r="CF24" s="453"/>
      <c r="CG24" s="419"/>
      <c r="CH24" s="453"/>
      <c r="CI24" s="453"/>
      <c r="CJ24" s="419"/>
      <c r="CK24" s="453"/>
      <c r="CL24" s="453"/>
      <c r="CM24" s="419"/>
      <c r="CN24" s="489"/>
      <c r="CO24" s="489"/>
      <c r="CP24" s="391"/>
      <c r="CQ24" s="489"/>
      <c r="CR24" s="489"/>
      <c r="CS24" s="391"/>
      <c r="CT24" s="526"/>
      <c r="CU24" s="524"/>
      <c r="CV24" s="391"/>
      <c r="CW24" s="393"/>
      <c r="CX24" s="396"/>
      <c r="CY24" s="391"/>
      <c r="CZ24" s="465"/>
      <c r="DA24" s="465"/>
      <c r="DB24" s="465"/>
      <c r="DC24" s="391"/>
      <c r="DD24" s="391"/>
      <c r="DE24" s="393"/>
      <c r="DF24" s="396"/>
      <c r="DG24" s="391"/>
      <c r="DH24" s="393"/>
      <c r="DI24" s="396"/>
      <c r="DJ24" s="391"/>
      <c r="DK24" s="393"/>
      <c r="DL24" s="396"/>
      <c r="DM24" s="391"/>
      <c r="DN24" s="48" t="s">
        <v>208</v>
      </c>
      <c r="DO24" s="48" t="s">
        <v>278</v>
      </c>
      <c r="DP24" s="66" t="s">
        <v>279</v>
      </c>
      <c r="DQ24" s="66" t="s">
        <v>224</v>
      </c>
      <c r="DR24" s="71">
        <v>44986</v>
      </c>
      <c r="DS24" s="493"/>
      <c r="DT24" s="317"/>
      <c r="DU24" s="68" t="s">
        <v>280</v>
      </c>
      <c r="DV24" s="317"/>
      <c r="DW24" s="311"/>
      <c r="DX24" s="311"/>
      <c r="DY24" s="311"/>
      <c r="DZ24" s="311"/>
      <c r="EA24" s="311"/>
      <c r="EB24" s="311"/>
      <c r="EC24" s="311"/>
      <c r="ED24" s="311"/>
      <c r="EE24" s="493"/>
      <c r="EF24" s="493"/>
    </row>
    <row r="25" spans="1:136" s="100" customFormat="1" ht="50.25" customHeight="1" x14ac:dyDescent="0.5">
      <c r="A25" s="633"/>
      <c r="B25" s="633"/>
      <c r="C25" s="633"/>
      <c r="D25" s="621"/>
      <c r="E25" s="376"/>
      <c r="F25" s="621"/>
      <c r="G25" s="376"/>
      <c r="H25" s="376"/>
      <c r="I25" s="376"/>
      <c r="J25" s="376"/>
      <c r="K25" s="637" t="s">
        <v>281</v>
      </c>
      <c r="L25" s="638"/>
      <c r="M25" s="638"/>
      <c r="N25" s="638"/>
      <c r="O25" s="638"/>
      <c r="P25" s="638"/>
      <c r="Q25" s="638"/>
      <c r="R25" s="638"/>
      <c r="S25" s="638"/>
      <c r="T25" s="638"/>
      <c r="U25" s="638"/>
      <c r="V25" s="172"/>
      <c r="W25" s="173">
        <f>+AVERAGE(W9:W24)</f>
        <v>1</v>
      </c>
      <c r="X25" s="173">
        <f>+AVERAGE(X9:X24)</f>
        <v>1</v>
      </c>
      <c r="Y25" s="172"/>
      <c r="Z25" s="173">
        <f>+AVERAGE(Z9:Z24)</f>
        <v>1</v>
      </c>
      <c r="AA25" s="173">
        <f>+AVERAGE(AA9:AA24)</f>
        <v>1</v>
      </c>
      <c r="AB25" s="172"/>
      <c r="AC25" s="173">
        <f>+AVERAGE(AC9:AC24)</f>
        <v>1</v>
      </c>
      <c r="AD25" s="173">
        <f>+AVERAGE(AD9:AD24)</f>
        <v>1</v>
      </c>
      <c r="AE25" s="172"/>
      <c r="AF25" s="173">
        <f>+AVERAGE(AF9:AF24)</f>
        <v>1</v>
      </c>
      <c r="AG25" s="173">
        <f>+AVERAGE(AG9:AG24)</f>
        <v>1</v>
      </c>
      <c r="AH25" s="172"/>
      <c r="AI25" s="173">
        <f>+AVERAGE(AI9:AI24)</f>
        <v>1</v>
      </c>
      <c r="AJ25" s="173">
        <f>+AVERAGE(AJ9:AJ24)</f>
        <v>1</v>
      </c>
      <c r="AK25" s="102"/>
      <c r="AL25" s="103"/>
      <c r="AM25" s="103"/>
      <c r="AN25" s="104"/>
      <c r="AO25" s="104"/>
      <c r="AP25" s="105"/>
      <c r="AQ25" s="106" t="s">
        <v>282</v>
      </c>
      <c r="AR25" s="130"/>
      <c r="AS25" s="106"/>
      <c r="AT25" s="106"/>
      <c r="AU25" s="244"/>
      <c r="AV25" s="125"/>
      <c r="AW25" s="126"/>
      <c r="AX25" s="107"/>
      <c r="AY25" s="98"/>
      <c r="AZ25" s="98"/>
      <c r="BA25" s="237"/>
      <c r="BB25" s="173">
        <f>+AVERAGE(BB9:BB24)</f>
        <v>1</v>
      </c>
      <c r="BC25" s="173">
        <f>+AVERAGE(BC9:BC24)</f>
        <v>1</v>
      </c>
      <c r="BD25" s="237"/>
      <c r="BE25" s="173">
        <f>+AVERAGE(BE9:BE24)</f>
        <v>1</v>
      </c>
      <c r="BF25" s="173">
        <f>+AVERAGE(BF9:BF24)</f>
        <v>1</v>
      </c>
      <c r="BG25" s="237"/>
      <c r="BH25" s="173">
        <f>+AVERAGE(BH9:BH24)</f>
        <v>1</v>
      </c>
      <c r="BI25" s="173">
        <f>+AVERAGE(BI9:BI24)</f>
        <v>1</v>
      </c>
      <c r="BJ25" s="237"/>
      <c r="BK25" s="173">
        <f>+AVERAGE(BK9:BK24)</f>
        <v>1</v>
      </c>
      <c r="BL25" s="173">
        <f>+AVERAGE(BL9:BL24)</f>
        <v>1</v>
      </c>
      <c r="BM25" s="237"/>
      <c r="BN25" s="173">
        <f>+AVERAGE(BN9:BN24)</f>
        <v>1</v>
      </c>
      <c r="BO25" s="173">
        <f>+AVERAGE(BO9:BO24)</f>
        <v>1</v>
      </c>
      <c r="BP25" s="105"/>
      <c r="BQ25" s="105"/>
      <c r="BR25" s="105"/>
      <c r="BS25" s="105"/>
      <c r="BT25" s="105"/>
      <c r="BU25" s="105"/>
      <c r="BV25" s="105"/>
      <c r="BW25" s="108">
        <f>SUM(BW9:BW24)</f>
        <v>2613647661</v>
      </c>
      <c r="BX25" s="108">
        <f>SUM(BX9:BX24)</f>
        <v>1870007410</v>
      </c>
      <c r="BY25" s="109">
        <f>BX25/BW25</f>
        <v>0.71547800336810585</v>
      </c>
      <c r="BZ25" s="141">
        <f>SUM(BZ9:BZ24)</f>
        <v>2613647661</v>
      </c>
      <c r="CA25" s="142">
        <f>+(CA19+CA9)</f>
        <v>2046148960</v>
      </c>
      <c r="CB25" s="143">
        <v>0</v>
      </c>
      <c r="CC25" s="109">
        <f>CA25/BZ25</f>
        <v>0.78287100075957794</v>
      </c>
      <c r="CD25" s="109">
        <f>CB25/BZ25</f>
        <v>0</v>
      </c>
      <c r="CE25" s="108">
        <f>SUM(CE9:CE24)</f>
        <v>2613647661</v>
      </c>
      <c r="CF25" s="108">
        <f>SUM(CF9:CF24)</f>
        <v>1870007410</v>
      </c>
      <c r="CG25" s="109">
        <f>CF25/CE25</f>
        <v>0.71547800336810585</v>
      </c>
      <c r="CH25" s="108">
        <f>SUM(CH9:CH24)</f>
        <v>4875020659.21</v>
      </c>
      <c r="CI25" s="108">
        <f>SUM(CI9:CI24)</f>
        <v>1867685275</v>
      </c>
      <c r="CJ25" s="109">
        <f>CI25/CH25</f>
        <v>0.3831133046526739</v>
      </c>
      <c r="CK25" s="108">
        <f>SUM(CK9:CK24)</f>
        <v>4875020659.21</v>
      </c>
      <c r="CL25" s="108">
        <f>SUM(CL9:CL24)</f>
        <v>1867685275</v>
      </c>
      <c r="CM25" s="109">
        <f>CL25/CK25</f>
        <v>0.3831133046526739</v>
      </c>
      <c r="CN25" s="108">
        <f>SUM(CN9:CN24)</f>
        <v>4875020659.21</v>
      </c>
      <c r="CO25" s="108">
        <f>SUM(CO9:CO24)</f>
        <v>1867685275</v>
      </c>
      <c r="CP25" s="109">
        <f>CO25/CN25</f>
        <v>0.3831133046526739</v>
      </c>
      <c r="CQ25" s="108">
        <f>SUM(CQ9:CQ24)</f>
        <v>4875020659.21</v>
      </c>
      <c r="CR25" s="108">
        <f>SUM(CR9:CR24)</f>
        <v>1867685275</v>
      </c>
      <c r="CS25" s="109">
        <f>CO25/CN25</f>
        <v>0.3831133046526739</v>
      </c>
      <c r="CT25" s="108">
        <f>SUM(CT9:CT24)</f>
        <v>4975830854.0299997</v>
      </c>
      <c r="CU25" s="108">
        <f>SUM(CU9:CU24)</f>
        <v>1867685275</v>
      </c>
      <c r="CV25" s="109">
        <f>CR25/CQ25</f>
        <v>0.3831133046526739</v>
      </c>
      <c r="CW25" s="108">
        <f>SUM(CW9:CW24)</f>
        <v>4975830854.0299997</v>
      </c>
      <c r="CX25" s="108">
        <f>SUM(CX9:CX24)</f>
        <v>1870760617.7</v>
      </c>
      <c r="CY25" s="109">
        <f>CX25/CW25</f>
        <v>0.37596949586516654</v>
      </c>
      <c r="CZ25" s="141">
        <f>CZ9+CZ19</f>
        <v>4975830854.0299997</v>
      </c>
      <c r="DA25" s="141">
        <f>DA9+DA19</f>
        <v>2481894388</v>
      </c>
      <c r="DB25" s="141">
        <f>DB9+DB19</f>
        <v>2481894388</v>
      </c>
      <c r="DC25" s="109">
        <f>(DC9+DC19)/2</f>
        <v>0.57800717820608472</v>
      </c>
      <c r="DD25" s="109">
        <f>(DD9+DD19)/2</f>
        <v>0.57800717820608472</v>
      </c>
      <c r="DE25" s="108">
        <f>SUM(DE9:DE24)</f>
        <v>4975830854.0299997</v>
      </c>
      <c r="DF25" s="108">
        <f>SUM(DF9:DF24)</f>
        <v>2174441946.48</v>
      </c>
      <c r="DG25" s="109">
        <f>DF25/DE25</f>
        <v>0.43700077640679585</v>
      </c>
      <c r="DH25" s="108">
        <f>SUM(DH9:DH24)</f>
        <v>4975830854.0299997</v>
      </c>
      <c r="DI25" s="108">
        <f>SUM(DI9:DI24)</f>
        <v>2347125984.48</v>
      </c>
      <c r="DJ25" s="109">
        <f>DI25/DH25</f>
        <v>0.47170533993916364</v>
      </c>
      <c r="DK25" s="108">
        <f>SUM(DK9:DK24)</f>
        <v>4975830854.0299997</v>
      </c>
      <c r="DL25" s="108">
        <f>SUM(DL9:DL24)</f>
        <v>2480264903.4400001</v>
      </c>
      <c r="DM25" s="109">
        <f>DL25/DK25</f>
        <v>0.49846246309421799</v>
      </c>
      <c r="DN25" s="105"/>
      <c r="DO25" s="105"/>
      <c r="DP25" s="110"/>
      <c r="DQ25" s="111"/>
      <c r="DR25" s="110"/>
      <c r="DS25" s="110"/>
      <c r="DT25" s="110"/>
      <c r="DU25" s="110"/>
      <c r="DV25" s="110"/>
      <c r="DW25" s="110"/>
      <c r="DX25" s="110"/>
      <c r="DY25" s="110"/>
      <c r="DZ25" s="110"/>
      <c r="EA25" s="110"/>
      <c r="EB25" s="110"/>
      <c r="EC25" s="110"/>
      <c r="ED25" s="110"/>
      <c r="EE25" s="110"/>
      <c r="EF25" s="110"/>
    </row>
    <row r="26" spans="1:136" ht="50.25" customHeight="1" x14ac:dyDescent="0.4">
      <c r="A26" s="633"/>
      <c r="B26" s="633"/>
      <c r="C26" s="633"/>
      <c r="D26" s="621"/>
      <c r="E26" s="376"/>
      <c r="F26" s="621"/>
      <c r="G26" s="376"/>
      <c r="H26" s="376"/>
      <c r="I26" s="376"/>
      <c r="J26" s="376"/>
      <c r="K26" s="568" t="s">
        <v>283</v>
      </c>
      <c r="L26" s="568" t="s">
        <v>284</v>
      </c>
      <c r="M26" s="568" t="s">
        <v>189</v>
      </c>
      <c r="N26" s="625">
        <v>375</v>
      </c>
      <c r="O26" s="568" t="s">
        <v>285</v>
      </c>
      <c r="P26" s="629" t="s">
        <v>193</v>
      </c>
      <c r="Q26" s="629"/>
      <c r="R26" s="629" t="s">
        <v>286</v>
      </c>
      <c r="S26" s="609">
        <v>400</v>
      </c>
      <c r="T26" s="609">
        <v>100</v>
      </c>
      <c r="U26" s="357">
        <v>283</v>
      </c>
      <c r="V26" s="351">
        <v>49</v>
      </c>
      <c r="W26" s="333">
        <f>V26/T26</f>
        <v>0.49</v>
      </c>
      <c r="X26" s="333">
        <f>(V26+U26)/S26</f>
        <v>0.83</v>
      </c>
      <c r="Y26" s="351">
        <v>49</v>
      </c>
      <c r="Z26" s="333">
        <f>Y26/T26</f>
        <v>0.49</v>
      </c>
      <c r="AA26" s="333">
        <f>(Y26+U26)/S26</f>
        <v>0.83</v>
      </c>
      <c r="AB26" s="351">
        <v>49</v>
      </c>
      <c r="AC26" s="333">
        <f>AB26/T26</f>
        <v>0.49</v>
      </c>
      <c r="AD26" s="333">
        <f>(AB26+U26)/S26</f>
        <v>0.83</v>
      </c>
      <c r="AE26" s="351">
        <f>49+15</f>
        <v>64</v>
      </c>
      <c r="AF26" s="333">
        <f>AE26/T26</f>
        <v>0.64</v>
      </c>
      <c r="AG26" s="333">
        <f>(AE26+U26)/S26</f>
        <v>0.86750000000000005</v>
      </c>
      <c r="AH26" s="351">
        <f>49+15+9</f>
        <v>73</v>
      </c>
      <c r="AI26" s="333">
        <f>AH26/T26</f>
        <v>0.73</v>
      </c>
      <c r="AJ26" s="333">
        <f>(AH26+U269)/T26</f>
        <v>0.73</v>
      </c>
      <c r="AK26" s="436" t="s">
        <v>195</v>
      </c>
      <c r="AL26" s="437" t="s">
        <v>196</v>
      </c>
      <c r="AM26" s="437" t="s">
        <v>197</v>
      </c>
      <c r="AN26" s="610" t="s">
        <v>287</v>
      </c>
      <c r="AO26" s="610" t="s">
        <v>288</v>
      </c>
      <c r="AP26" s="420">
        <v>2020130010038</v>
      </c>
      <c r="AQ26" s="420" t="s">
        <v>289</v>
      </c>
      <c r="AR26" s="631" t="s">
        <v>290</v>
      </c>
      <c r="AS26" s="609"/>
      <c r="AT26" s="30"/>
      <c r="AU26" s="570">
        <v>0.3</v>
      </c>
      <c r="AV26" s="123">
        <v>44958</v>
      </c>
      <c r="AW26" s="124">
        <v>45275</v>
      </c>
      <c r="AX26" s="29">
        <f t="shared" ref="AX26:AX33" si="2">+AW26-AV26</f>
        <v>317</v>
      </c>
      <c r="AY26" s="609">
        <v>100</v>
      </c>
      <c r="AZ26" s="611">
        <v>0</v>
      </c>
      <c r="BA26" s="367">
        <v>49</v>
      </c>
      <c r="BB26" s="334">
        <f>BA26/AY26</f>
        <v>0.49</v>
      </c>
      <c r="BC26" s="331">
        <f>+AVERAGE(BB26:BB33)</f>
        <v>0.87250000000000005</v>
      </c>
      <c r="BD26" s="367">
        <v>49</v>
      </c>
      <c r="BE26" s="334">
        <f>BD26/T26</f>
        <v>0.49</v>
      </c>
      <c r="BF26" s="331">
        <f>+AVERAGE(BE26:BE33)</f>
        <v>0.87250000000000005</v>
      </c>
      <c r="BG26" s="367">
        <v>49</v>
      </c>
      <c r="BH26" s="334">
        <f>BG26/T26</f>
        <v>0.49</v>
      </c>
      <c r="BI26" s="331">
        <f>+AVERAGE(BH26:BH33)</f>
        <v>0.87250000000000005</v>
      </c>
      <c r="BJ26" s="367">
        <f>49+15</f>
        <v>64</v>
      </c>
      <c r="BK26" s="334">
        <f>BJ26/T26</f>
        <v>0.64</v>
      </c>
      <c r="BL26" s="331">
        <f>+AVERAGE(BK26:BK33)</f>
        <v>0.91</v>
      </c>
      <c r="BM26" s="367">
        <f>49+15+9</f>
        <v>73</v>
      </c>
      <c r="BN26" s="334">
        <f>BM26/T26</f>
        <v>0.73</v>
      </c>
      <c r="BO26" s="331">
        <f>+AVERAGE(BN26:BN33)</f>
        <v>0.9325</v>
      </c>
      <c r="BP26" s="420" t="s">
        <v>202</v>
      </c>
      <c r="BQ26" s="420" t="s">
        <v>203</v>
      </c>
      <c r="BR26" s="420" t="s">
        <v>204</v>
      </c>
      <c r="BS26" s="62">
        <v>551258064</v>
      </c>
      <c r="BT26" s="48" t="s">
        <v>291</v>
      </c>
      <c r="BU26" s="420" t="s">
        <v>292</v>
      </c>
      <c r="BV26" s="420" t="s">
        <v>293</v>
      </c>
      <c r="BW26" s="571">
        <v>2145805725</v>
      </c>
      <c r="BX26" s="571">
        <v>535597200</v>
      </c>
      <c r="BY26" s="562">
        <f>BX26/BW26</f>
        <v>0.24960190652860711</v>
      </c>
      <c r="BZ26" s="572">
        <v>2145805725</v>
      </c>
      <c r="CA26" s="572">
        <v>535597200</v>
      </c>
      <c r="CB26" s="572">
        <v>0</v>
      </c>
      <c r="CC26" s="448">
        <f>CA26/BZ26</f>
        <v>0.24960190652860711</v>
      </c>
      <c r="CD26" s="448">
        <v>0</v>
      </c>
      <c r="CE26" s="603">
        <v>3184570320</v>
      </c>
      <c r="CF26" s="516">
        <v>967597200</v>
      </c>
      <c r="CG26" s="448">
        <f>CF26/CE26</f>
        <v>0.3038391691096336</v>
      </c>
      <c r="CH26" s="476">
        <v>3184570320.29</v>
      </c>
      <c r="CI26" s="476">
        <v>967597200</v>
      </c>
      <c r="CJ26" s="448">
        <f>CI26/CH26</f>
        <v>0.30383916908196479</v>
      </c>
      <c r="CK26" s="476">
        <v>3184570320.29</v>
      </c>
      <c r="CL26" s="476">
        <v>967597200</v>
      </c>
      <c r="CM26" s="448">
        <f>CL26/CK26</f>
        <v>0.30383916908196479</v>
      </c>
      <c r="CN26" s="399">
        <v>3184570320.29</v>
      </c>
      <c r="CO26" s="399">
        <v>1017597200</v>
      </c>
      <c r="CP26" s="389">
        <f>CO26/CN26</f>
        <v>0.31953987434867931</v>
      </c>
      <c r="CQ26" s="399">
        <v>3184570320.29</v>
      </c>
      <c r="CR26" s="399">
        <v>1109034200</v>
      </c>
      <c r="CS26" s="389">
        <f>CO26/CN26</f>
        <v>0.31953987434867931</v>
      </c>
      <c r="CT26" s="394">
        <v>3760570320.29</v>
      </c>
      <c r="CU26" s="399">
        <v>1802634200</v>
      </c>
      <c r="CV26" s="389">
        <f>CR26/CQ26</f>
        <v>0.34825238209813086</v>
      </c>
      <c r="CW26" s="394">
        <v>3760570320.29</v>
      </c>
      <c r="CX26" s="399">
        <v>1873365237.99</v>
      </c>
      <c r="CY26" s="389">
        <f>CX26/CW26</f>
        <v>0.49815987428351921</v>
      </c>
      <c r="CZ26" s="463">
        <v>3760570320.29</v>
      </c>
      <c r="DA26" s="463">
        <v>2133597200</v>
      </c>
      <c r="DB26" s="463">
        <v>2083597200</v>
      </c>
      <c r="DC26" s="389">
        <f>DA26/CZ26</f>
        <v>0.56736000613743753</v>
      </c>
      <c r="DD26" s="389">
        <f>DB26/CZ26</f>
        <v>0.55406415052473246</v>
      </c>
      <c r="DE26" s="394">
        <v>3760570320.29</v>
      </c>
      <c r="DF26" s="399">
        <v>3063193334.2199998</v>
      </c>
      <c r="DG26" s="389">
        <f>DF26/DE26</f>
        <v>0.81455552571179646</v>
      </c>
      <c r="DH26" s="394">
        <v>3760570320.29</v>
      </c>
      <c r="DI26" s="399">
        <v>3100412374.2199998</v>
      </c>
      <c r="DJ26" s="389">
        <f>DI26/DH26</f>
        <v>0.82445270534946635</v>
      </c>
      <c r="DK26" s="394">
        <v>3760570320.29</v>
      </c>
      <c r="DL26" s="399">
        <v>3455472364</v>
      </c>
      <c r="DM26" s="389">
        <f>DL26/DK26</f>
        <v>0.91886923250873498</v>
      </c>
      <c r="DN26" s="48" t="s">
        <v>208</v>
      </c>
      <c r="DO26" s="527" t="s">
        <v>294</v>
      </c>
      <c r="DP26" s="494" t="s">
        <v>295</v>
      </c>
      <c r="DQ26" s="494" t="s">
        <v>241</v>
      </c>
      <c r="DR26" s="514">
        <v>44927</v>
      </c>
      <c r="DS26" s="494" t="s">
        <v>296</v>
      </c>
      <c r="DT26" s="496" t="s">
        <v>297</v>
      </c>
      <c r="DU26" s="496" t="s">
        <v>298</v>
      </c>
      <c r="DV26" s="315" t="s">
        <v>299</v>
      </c>
      <c r="DW26" s="310" t="s">
        <v>300</v>
      </c>
      <c r="DX26" s="310" t="s">
        <v>301</v>
      </c>
      <c r="DY26" s="310" t="s">
        <v>302</v>
      </c>
      <c r="DZ26" s="310" t="s">
        <v>303</v>
      </c>
      <c r="EA26" s="310" t="s">
        <v>304</v>
      </c>
      <c r="EB26" s="310" t="s">
        <v>305</v>
      </c>
      <c r="EC26" s="310" t="s">
        <v>753</v>
      </c>
      <c r="ED26" s="310" t="s">
        <v>774</v>
      </c>
      <c r="EE26" s="496" t="s">
        <v>221</v>
      </c>
      <c r="EF26" s="496" t="s">
        <v>306</v>
      </c>
    </row>
    <row r="27" spans="1:136" ht="50.25" customHeight="1" x14ac:dyDescent="0.4">
      <c r="A27" s="633"/>
      <c r="B27" s="633"/>
      <c r="C27" s="633"/>
      <c r="D27" s="621"/>
      <c r="E27" s="376"/>
      <c r="F27" s="621"/>
      <c r="G27" s="376"/>
      <c r="H27" s="376"/>
      <c r="I27" s="376"/>
      <c r="J27" s="376"/>
      <c r="K27" s="568"/>
      <c r="L27" s="568"/>
      <c r="M27" s="568"/>
      <c r="N27" s="625"/>
      <c r="O27" s="568"/>
      <c r="P27" s="629"/>
      <c r="Q27" s="629"/>
      <c r="R27" s="629"/>
      <c r="S27" s="609"/>
      <c r="T27" s="609"/>
      <c r="U27" s="357"/>
      <c r="V27" s="351"/>
      <c r="W27" s="333"/>
      <c r="X27" s="333"/>
      <c r="Y27" s="351"/>
      <c r="Z27" s="333"/>
      <c r="AA27" s="333"/>
      <c r="AB27" s="351"/>
      <c r="AC27" s="333"/>
      <c r="AD27" s="333"/>
      <c r="AE27" s="351"/>
      <c r="AF27" s="333"/>
      <c r="AG27" s="333"/>
      <c r="AH27" s="351"/>
      <c r="AI27" s="333"/>
      <c r="AJ27" s="333"/>
      <c r="AK27" s="436"/>
      <c r="AL27" s="437"/>
      <c r="AM27" s="437"/>
      <c r="AN27" s="610"/>
      <c r="AO27" s="610"/>
      <c r="AP27" s="420"/>
      <c r="AQ27" s="420"/>
      <c r="AR27" s="631"/>
      <c r="AS27" s="609"/>
      <c r="AT27" s="135"/>
      <c r="AU27" s="570"/>
      <c r="AV27" s="136"/>
      <c r="AW27" s="137"/>
      <c r="AX27" s="29">
        <f t="shared" si="2"/>
        <v>0</v>
      </c>
      <c r="AY27" s="609"/>
      <c r="AZ27" s="611"/>
      <c r="BA27" s="368"/>
      <c r="BB27" s="335"/>
      <c r="BC27" s="331"/>
      <c r="BD27" s="368"/>
      <c r="BE27" s="335"/>
      <c r="BF27" s="331"/>
      <c r="BG27" s="368"/>
      <c r="BH27" s="335"/>
      <c r="BI27" s="331"/>
      <c r="BJ27" s="368"/>
      <c r="BK27" s="335"/>
      <c r="BL27" s="331"/>
      <c r="BM27" s="368"/>
      <c r="BN27" s="335"/>
      <c r="BO27" s="331"/>
      <c r="BP27" s="420"/>
      <c r="BQ27" s="420"/>
      <c r="BR27" s="420"/>
      <c r="BS27" s="62">
        <v>325841936</v>
      </c>
      <c r="BT27" s="48" t="s">
        <v>205</v>
      </c>
      <c r="BU27" s="420"/>
      <c r="BV27" s="420"/>
      <c r="BW27" s="571"/>
      <c r="BX27" s="571"/>
      <c r="BY27" s="562"/>
      <c r="BZ27" s="573"/>
      <c r="CA27" s="573"/>
      <c r="CB27" s="573"/>
      <c r="CC27" s="449"/>
      <c r="CD27" s="449"/>
      <c r="CE27" s="604"/>
      <c r="CF27" s="517"/>
      <c r="CG27" s="449"/>
      <c r="CH27" s="477"/>
      <c r="CI27" s="477"/>
      <c r="CJ27" s="449"/>
      <c r="CK27" s="477"/>
      <c r="CL27" s="477"/>
      <c r="CM27" s="449"/>
      <c r="CN27" s="479"/>
      <c r="CO27" s="479"/>
      <c r="CP27" s="390"/>
      <c r="CQ27" s="479"/>
      <c r="CR27" s="479"/>
      <c r="CS27" s="390"/>
      <c r="CT27" s="523"/>
      <c r="CU27" s="525"/>
      <c r="CV27" s="390"/>
      <c r="CW27" s="397"/>
      <c r="CX27" s="392"/>
      <c r="CY27" s="390"/>
      <c r="CZ27" s="464"/>
      <c r="DA27" s="464"/>
      <c r="DB27" s="464"/>
      <c r="DC27" s="390"/>
      <c r="DD27" s="390"/>
      <c r="DE27" s="397"/>
      <c r="DF27" s="392"/>
      <c r="DG27" s="390"/>
      <c r="DH27" s="397"/>
      <c r="DI27" s="392"/>
      <c r="DJ27" s="390"/>
      <c r="DK27" s="397"/>
      <c r="DL27" s="392"/>
      <c r="DM27" s="390"/>
      <c r="DN27" s="48" t="s">
        <v>208</v>
      </c>
      <c r="DO27" s="528"/>
      <c r="DP27" s="495"/>
      <c r="DQ27" s="495"/>
      <c r="DR27" s="515"/>
      <c r="DS27" s="529"/>
      <c r="DT27" s="492"/>
      <c r="DU27" s="493"/>
      <c r="DV27" s="316"/>
      <c r="DW27" s="312"/>
      <c r="DX27" s="312"/>
      <c r="DY27" s="312"/>
      <c r="DZ27" s="312"/>
      <c r="EA27" s="312"/>
      <c r="EB27" s="312"/>
      <c r="EC27" s="312"/>
      <c r="ED27" s="312"/>
      <c r="EE27" s="492"/>
      <c r="EF27" s="492"/>
    </row>
    <row r="28" spans="1:136" ht="50.25" customHeight="1" x14ac:dyDescent="0.4">
      <c r="A28" s="633"/>
      <c r="B28" s="633"/>
      <c r="C28" s="633"/>
      <c r="D28" s="621"/>
      <c r="E28" s="376"/>
      <c r="F28" s="621"/>
      <c r="G28" s="376"/>
      <c r="H28" s="376"/>
      <c r="I28" s="376"/>
      <c r="J28" s="376"/>
      <c r="K28" s="568"/>
      <c r="L28" s="568"/>
      <c r="M28" s="568"/>
      <c r="N28" s="625"/>
      <c r="O28" s="568"/>
      <c r="P28" s="29"/>
      <c r="Q28" s="29" t="s">
        <v>193</v>
      </c>
      <c r="R28" s="80" t="s">
        <v>307</v>
      </c>
      <c r="S28" s="609"/>
      <c r="T28" s="609"/>
      <c r="U28" s="357"/>
      <c r="V28" s="351"/>
      <c r="W28" s="333"/>
      <c r="X28" s="333"/>
      <c r="Y28" s="351"/>
      <c r="Z28" s="333"/>
      <c r="AA28" s="333"/>
      <c r="AB28" s="351"/>
      <c r="AC28" s="333"/>
      <c r="AD28" s="333"/>
      <c r="AE28" s="351"/>
      <c r="AF28" s="333"/>
      <c r="AG28" s="333"/>
      <c r="AH28" s="351"/>
      <c r="AI28" s="333"/>
      <c r="AJ28" s="333"/>
      <c r="AK28" s="436"/>
      <c r="AL28" s="437"/>
      <c r="AM28" s="437"/>
      <c r="AN28" s="610"/>
      <c r="AO28" s="610"/>
      <c r="AP28" s="420"/>
      <c r="AQ28" s="420"/>
      <c r="AR28" s="131" t="s">
        <v>308</v>
      </c>
      <c r="AS28" s="609"/>
      <c r="AT28" s="30"/>
      <c r="AU28" s="134">
        <v>0.1</v>
      </c>
      <c r="AV28" s="123">
        <v>44958</v>
      </c>
      <c r="AW28" s="124">
        <v>45275</v>
      </c>
      <c r="AX28" s="29">
        <f t="shared" si="2"/>
        <v>317</v>
      </c>
      <c r="AY28" s="609"/>
      <c r="AZ28" s="611"/>
      <c r="BA28" s="368"/>
      <c r="BB28" s="335"/>
      <c r="BC28" s="331"/>
      <c r="BD28" s="368"/>
      <c r="BE28" s="335"/>
      <c r="BF28" s="331"/>
      <c r="BG28" s="368"/>
      <c r="BH28" s="335"/>
      <c r="BI28" s="331"/>
      <c r="BJ28" s="368"/>
      <c r="BK28" s="335"/>
      <c r="BL28" s="331"/>
      <c r="BM28" s="368"/>
      <c r="BN28" s="335"/>
      <c r="BO28" s="331"/>
      <c r="BP28" s="420"/>
      <c r="BQ28" s="420"/>
      <c r="BR28" s="420"/>
      <c r="BS28" s="62">
        <v>232839200</v>
      </c>
      <c r="BT28" s="48" t="s">
        <v>291</v>
      </c>
      <c r="BU28" s="420"/>
      <c r="BV28" s="420"/>
      <c r="BW28" s="571"/>
      <c r="BX28" s="571"/>
      <c r="BY28" s="562"/>
      <c r="BZ28" s="573"/>
      <c r="CA28" s="573"/>
      <c r="CB28" s="573"/>
      <c r="CC28" s="449"/>
      <c r="CD28" s="449"/>
      <c r="CE28" s="604"/>
      <c r="CF28" s="517"/>
      <c r="CG28" s="449"/>
      <c r="CH28" s="477"/>
      <c r="CI28" s="477"/>
      <c r="CJ28" s="449"/>
      <c r="CK28" s="477"/>
      <c r="CL28" s="477"/>
      <c r="CM28" s="449"/>
      <c r="CN28" s="479"/>
      <c r="CO28" s="479"/>
      <c r="CP28" s="390"/>
      <c r="CQ28" s="479"/>
      <c r="CR28" s="479"/>
      <c r="CS28" s="390"/>
      <c r="CT28" s="523"/>
      <c r="CU28" s="525"/>
      <c r="CV28" s="390"/>
      <c r="CW28" s="397"/>
      <c r="CX28" s="392"/>
      <c r="CY28" s="390"/>
      <c r="CZ28" s="464"/>
      <c r="DA28" s="464"/>
      <c r="DB28" s="464"/>
      <c r="DC28" s="390"/>
      <c r="DD28" s="390"/>
      <c r="DE28" s="397"/>
      <c r="DF28" s="392"/>
      <c r="DG28" s="390"/>
      <c r="DH28" s="397"/>
      <c r="DI28" s="392"/>
      <c r="DJ28" s="390"/>
      <c r="DK28" s="397"/>
      <c r="DL28" s="392"/>
      <c r="DM28" s="390"/>
      <c r="DN28" s="48" t="s">
        <v>208</v>
      </c>
      <c r="DO28" s="48" t="s">
        <v>209</v>
      </c>
      <c r="DP28" s="66" t="s">
        <v>210</v>
      </c>
      <c r="DQ28" s="48" t="s">
        <v>291</v>
      </c>
      <c r="DR28" s="71">
        <v>44927</v>
      </c>
      <c r="DS28" s="529"/>
      <c r="DT28" s="492"/>
      <c r="DU28" s="80" t="s">
        <v>309</v>
      </c>
      <c r="DV28" s="316"/>
      <c r="DW28" s="312"/>
      <c r="DX28" s="312"/>
      <c r="DY28" s="312"/>
      <c r="DZ28" s="312"/>
      <c r="EA28" s="312"/>
      <c r="EB28" s="312"/>
      <c r="EC28" s="312"/>
      <c r="ED28" s="312"/>
      <c r="EE28" s="492"/>
      <c r="EF28" s="492"/>
    </row>
    <row r="29" spans="1:136" ht="185.25" customHeight="1" x14ac:dyDescent="0.4">
      <c r="A29" s="633"/>
      <c r="B29" s="633"/>
      <c r="C29" s="633"/>
      <c r="D29" s="621"/>
      <c r="E29" s="376"/>
      <c r="F29" s="621"/>
      <c r="G29" s="376"/>
      <c r="H29" s="376"/>
      <c r="I29" s="376"/>
      <c r="J29" s="376"/>
      <c r="K29" s="568"/>
      <c r="L29" s="568"/>
      <c r="M29" s="568"/>
      <c r="N29" s="625"/>
      <c r="O29" s="568"/>
      <c r="P29" s="29"/>
      <c r="Q29" s="29" t="s">
        <v>193</v>
      </c>
      <c r="R29" s="29" t="s">
        <v>310</v>
      </c>
      <c r="S29" s="609"/>
      <c r="T29" s="609"/>
      <c r="U29" s="357"/>
      <c r="V29" s="351"/>
      <c r="W29" s="333"/>
      <c r="X29" s="333"/>
      <c r="Y29" s="351"/>
      <c r="Z29" s="333"/>
      <c r="AA29" s="333"/>
      <c r="AB29" s="351"/>
      <c r="AC29" s="333"/>
      <c r="AD29" s="333"/>
      <c r="AE29" s="351"/>
      <c r="AF29" s="333"/>
      <c r="AG29" s="333"/>
      <c r="AH29" s="351"/>
      <c r="AI29" s="333"/>
      <c r="AJ29" s="333"/>
      <c r="AK29" s="436"/>
      <c r="AL29" s="437"/>
      <c r="AM29" s="437"/>
      <c r="AN29" s="610"/>
      <c r="AO29" s="610"/>
      <c r="AP29" s="420"/>
      <c r="AQ29" s="420"/>
      <c r="AR29" s="131" t="s">
        <v>311</v>
      </c>
      <c r="AS29" s="609"/>
      <c r="AT29" s="30"/>
      <c r="AU29" s="134">
        <v>0.03</v>
      </c>
      <c r="AV29" s="123">
        <v>44958</v>
      </c>
      <c r="AW29" s="124">
        <v>45275</v>
      </c>
      <c r="AX29" s="29">
        <f t="shared" si="2"/>
        <v>317</v>
      </c>
      <c r="AY29" s="609"/>
      <c r="AZ29" s="611"/>
      <c r="BA29" s="369"/>
      <c r="BB29" s="359"/>
      <c r="BC29" s="331"/>
      <c r="BD29" s="369"/>
      <c r="BE29" s="359"/>
      <c r="BF29" s="331"/>
      <c r="BG29" s="369"/>
      <c r="BH29" s="359"/>
      <c r="BI29" s="331"/>
      <c r="BJ29" s="369"/>
      <c r="BK29" s="359"/>
      <c r="BL29" s="331"/>
      <c r="BM29" s="369"/>
      <c r="BN29" s="359"/>
      <c r="BO29" s="331"/>
      <c r="BP29" s="420"/>
      <c r="BQ29" s="420"/>
      <c r="BR29" s="420"/>
      <c r="BS29" s="62">
        <v>33000000</v>
      </c>
      <c r="BT29" s="48" t="s">
        <v>291</v>
      </c>
      <c r="BU29" s="420"/>
      <c r="BV29" s="420"/>
      <c r="BW29" s="571"/>
      <c r="BX29" s="571"/>
      <c r="BY29" s="562"/>
      <c r="BZ29" s="573"/>
      <c r="CA29" s="573"/>
      <c r="CB29" s="573"/>
      <c r="CC29" s="449"/>
      <c r="CD29" s="449"/>
      <c r="CE29" s="604"/>
      <c r="CF29" s="517"/>
      <c r="CG29" s="449"/>
      <c r="CH29" s="477"/>
      <c r="CI29" s="477"/>
      <c r="CJ29" s="449"/>
      <c r="CK29" s="477"/>
      <c r="CL29" s="477"/>
      <c r="CM29" s="449"/>
      <c r="CN29" s="479"/>
      <c r="CO29" s="479"/>
      <c r="CP29" s="390"/>
      <c r="CQ29" s="479"/>
      <c r="CR29" s="479"/>
      <c r="CS29" s="390"/>
      <c r="CT29" s="523"/>
      <c r="CU29" s="525"/>
      <c r="CV29" s="390"/>
      <c r="CW29" s="397"/>
      <c r="CX29" s="392"/>
      <c r="CY29" s="390"/>
      <c r="CZ29" s="464"/>
      <c r="DA29" s="464"/>
      <c r="DB29" s="464"/>
      <c r="DC29" s="390"/>
      <c r="DD29" s="390"/>
      <c r="DE29" s="397"/>
      <c r="DF29" s="392"/>
      <c r="DG29" s="390"/>
      <c r="DH29" s="397"/>
      <c r="DI29" s="392"/>
      <c r="DJ29" s="390"/>
      <c r="DK29" s="397"/>
      <c r="DL29" s="392"/>
      <c r="DM29" s="390"/>
      <c r="DN29" s="48" t="s">
        <v>208</v>
      </c>
      <c r="DO29" s="48" t="s">
        <v>209</v>
      </c>
      <c r="DP29" s="66" t="s">
        <v>210</v>
      </c>
      <c r="DQ29" s="48" t="s">
        <v>291</v>
      </c>
      <c r="DR29" s="71">
        <v>44927</v>
      </c>
      <c r="DS29" s="529"/>
      <c r="DT29" s="492"/>
      <c r="DU29" s="80" t="s">
        <v>312</v>
      </c>
      <c r="DV29" s="317"/>
      <c r="DW29" s="311"/>
      <c r="DX29" s="311"/>
      <c r="DY29" s="311"/>
      <c r="DZ29" s="311"/>
      <c r="EA29" s="311"/>
      <c r="EB29" s="311"/>
      <c r="EC29" s="311"/>
      <c r="ED29" s="311"/>
      <c r="EE29" s="492"/>
      <c r="EF29" s="492"/>
    </row>
    <row r="30" spans="1:136" ht="315" customHeight="1" x14ac:dyDescent="0.4">
      <c r="A30" s="633"/>
      <c r="B30" s="633"/>
      <c r="C30" s="633"/>
      <c r="D30" s="621"/>
      <c r="E30" s="376"/>
      <c r="F30" s="621"/>
      <c r="G30" s="376"/>
      <c r="H30" s="376"/>
      <c r="I30" s="376"/>
      <c r="J30" s="376"/>
      <c r="K30" s="568"/>
      <c r="L30" s="38" t="s">
        <v>313</v>
      </c>
      <c r="M30" s="37" t="s">
        <v>189</v>
      </c>
      <c r="N30" s="30">
        <v>0</v>
      </c>
      <c r="O30" s="37" t="s">
        <v>314</v>
      </c>
      <c r="P30" s="29"/>
      <c r="Q30" s="29" t="s">
        <v>193</v>
      </c>
      <c r="R30" s="29" t="s">
        <v>315</v>
      </c>
      <c r="S30" s="30">
        <v>4000</v>
      </c>
      <c r="T30" s="30">
        <v>1000</v>
      </c>
      <c r="U30" s="140">
        <v>13211</v>
      </c>
      <c r="V30" s="81">
        <v>1416</v>
      </c>
      <c r="W30" s="36">
        <v>1</v>
      </c>
      <c r="X30" s="36">
        <v>1</v>
      </c>
      <c r="Y30" s="81">
        <v>1416</v>
      </c>
      <c r="Z30" s="36">
        <v>1</v>
      </c>
      <c r="AA30" s="36">
        <v>1</v>
      </c>
      <c r="AB30" s="81">
        <v>1416</v>
      </c>
      <c r="AC30" s="36">
        <v>1</v>
      </c>
      <c r="AD30" s="36">
        <v>1</v>
      </c>
      <c r="AE30" s="81">
        <v>1416</v>
      </c>
      <c r="AF30" s="36">
        <v>1</v>
      </c>
      <c r="AG30" s="36">
        <v>1</v>
      </c>
      <c r="AH30" s="81">
        <f>1416+4845</f>
        <v>6261</v>
      </c>
      <c r="AI30" s="36">
        <v>1</v>
      </c>
      <c r="AJ30" s="36">
        <v>1</v>
      </c>
      <c r="AK30" s="436"/>
      <c r="AL30" s="437"/>
      <c r="AM30" s="437"/>
      <c r="AN30" s="610"/>
      <c r="AO30" s="610"/>
      <c r="AP30" s="420"/>
      <c r="AQ30" s="420"/>
      <c r="AR30" s="129" t="s">
        <v>316</v>
      </c>
      <c r="AS30" s="30"/>
      <c r="AT30" s="30"/>
      <c r="AU30" s="134">
        <v>0.1</v>
      </c>
      <c r="AV30" s="123">
        <v>44958</v>
      </c>
      <c r="AW30" s="124">
        <v>45275</v>
      </c>
      <c r="AX30" s="29">
        <f t="shared" si="2"/>
        <v>317</v>
      </c>
      <c r="AY30" s="30">
        <v>1000</v>
      </c>
      <c r="AZ30" s="31">
        <v>0</v>
      </c>
      <c r="BA30" s="81">
        <v>1416</v>
      </c>
      <c r="BB30" s="36">
        <v>1</v>
      </c>
      <c r="BC30" s="331"/>
      <c r="BD30" s="81">
        <v>1416</v>
      </c>
      <c r="BE30" s="36">
        <v>1</v>
      </c>
      <c r="BF30" s="331"/>
      <c r="BG30" s="81">
        <v>1416</v>
      </c>
      <c r="BH30" s="36">
        <v>1</v>
      </c>
      <c r="BI30" s="331"/>
      <c r="BJ30" s="81">
        <v>1416</v>
      </c>
      <c r="BK30" s="36">
        <v>1</v>
      </c>
      <c r="BL30" s="331"/>
      <c r="BM30" s="81">
        <f>1416+4845</f>
        <v>6261</v>
      </c>
      <c r="BN30" s="36">
        <v>1</v>
      </c>
      <c r="BO30" s="331"/>
      <c r="BP30" s="420"/>
      <c r="BQ30" s="420"/>
      <c r="BR30" s="420"/>
      <c r="BS30" s="60">
        <v>170500000</v>
      </c>
      <c r="BT30" s="48" t="s">
        <v>291</v>
      </c>
      <c r="BU30" s="420"/>
      <c r="BV30" s="420"/>
      <c r="BW30" s="571"/>
      <c r="BX30" s="571"/>
      <c r="BY30" s="562"/>
      <c r="BZ30" s="573"/>
      <c r="CA30" s="573"/>
      <c r="CB30" s="573"/>
      <c r="CC30" s="449"/>
      <c r="CD30" s="449"/>
      <c r="CE30" s="604"/>
      <c r="CF30" s="517"/>
      <c r="CG30" s="449"/>
      <c r="CH30" s="477"/>
      <c r="CI30" s="477"/>
      <c r="CJ30" s="449"/>
      <c r="CK30" s="477"/>
      <c r="CL30" s="477"/>
      <c r="CM30" s="449"/>
      <c r="CN30" s="479"/>
      <c r="CO30" s="479"/>
      <c r="CP30" s="390"/>
      <c r="CQ30" s="479"/>
      <c r="CR30" s="479"/>
      <c r="CS30" s="390"/>
      <c r="CT30" s="523"/>
      <c r="CU30" s="525"/>
      <c r="CV30" s="390"/>
      <c r="CW30" s="397"/>
      <c r="CX30" s="392"/>
      <c r="CY30" s="390"/>
      <c r="CZ30" s="464"/>
      <c r="DA30" s="464"/>
      <c r="DB30" s="464"/>
      <c r="DC30" s="390"/>
      <c r="DD30" s="390"/>
      <c r="DE30" s="397"/>
      <c r="DF30" s="392"/>
      <c r="DG30" s="390"/>
      <c r="DH30" s="397"/>
      <c r="DI30" s="392"/>
      <c r="DJ30" s="390"/>
      <c r="DK30" s="397"/>
      <c r="DL30" s="392"/>
      <c r="DM30" s="390"/>
      <c r="DN30" s="48" t="s">
        <v>208</v>
      </c>
      <c r="DO30" s="48" t="s">
        <v>317</v>
      </c>
      <c r="DP30" s="66" t="s">
        <v>318</v>
      </c>
      <c r="DQ30" s="48" t="s">
        <v>291</v>
      </c>
      <c r="DR30" s="71">
        <v>44927</v>
      </c>
      <c r="DS30" s="529"/>
      <c r="DT30" s="492"/>
      <c r="DU30" s="80" t="s">
        <v>319</v>
      </c>
      <c r="DV30" s="68" t="s">
        <v>320</v>
      </c>
      <c r="DW30" s="82" t="s">
        <v>321</v>
      </c>
      <c r="DX30" s="82" t="s">
        <v>322</v>
      </c>
      <c r="DY30" s="82" t="s">
        <v>323</v>
      </c>
      <c r="DZ30" s="82" t="s">
        <v>303</v>
      </c>
      <c r="EA30" s="82" t="s">
        <v>304</v>
      </c>
      <c r="EB30" s="82" t="s">
        <v>324</v>
      </c>
      <c r="EC30" s="82" t="s">
        <v>757</v>
      </c>
      <c r="ED30" s="82" t="s">
        <v>775</v>
      </c>
      <c r="EE30" s="492"/>
      <c r="EF30" s="492"/>
    </row>
    <row r="31" spans="1:136" ht="50.25" customHeight="1" x14ac:dyDescent="0.4">
      <c r="A31" s="633"/>
      <c r="B31" s="633"/>
      <c r="C31" s="633"/>
      <c r="D31" s="621"/>
      <c r="E31" s="376"/>
      <c r="F31" s="621"/>
      <c r="G31" s="376"/>
      <c r="H31" s="376"/>
      <c r="I31" s="376"/>
      <c r="J31" s="376"/>
      <c r="K31" s="568"/>
      <c r="L31" s="568" t="s">
        <v>325</v>
      </c>
      <c r="M31" s="568" t="s">
        <v>189</v>
      </c>
      <c r="N31" s="625">
        <v>288</v>
      </c>
      <c r="O31" s="568" t="s">
        <v>326</v>
      </c>
      <c r="P31" s="436"/>
      <c r="Q31" s="436" t="s">
        <v>193</v>
      </c>
      <c r="R31" s="436" t="s">
        <v>327</v>
      </c>
      <c r="S31" s="609">
        <v>576</v>
      </c>
      <c r="T31" s="609">
        <v>144</v>
      </c>
      <c r="U31" s="609">
        <v>1120</v>
      </c>
      <c r="V31" s="351">
        <f>60+14+89+6</f>
        <v>169</v>
      </c>
      <c r="W31" s="333">
        <v>1</v>
      </c>
      <c r="X31" s="333">
        <v>1</v>
      </c>
      <c r="Y31" s="351">
        <f>60+14+89+6+81</f>
        <v>250</v>
      </c>
      <c r="Z31" s="333">
        <v>1</v>
      </c>
      <c r="AA31" s="333">
        <v>1</v>
      </c>
      <c r="AB31" s="351">
        <f>60+14+89+6+81</f>
        <v>250</v>
      </c>
      <c r="AC31" s="333">
        <v>1</v>
      </c>
      <c r="AD31" s="333">
        <v>1</v>
      </c>
      <c r="AE31" s="351">
        <f>60+14+89+6+81+4</f>
        <v>254</v>
      </c>
      <c r="AF31" s="333">
        <v>1</v>
      </c>
      <c r="AG31" s="333">
        <v>1</v>
      </c>
      <c r="AH31" s="351">
        <f>60+14+89+6+81+4+64</f>
        <v>318</v>
      </c>
      <c r="AI31" s="333">
        <v>1</v>
      </c>
      <c r="AJ31" s="333">
        <v>1</v>
      </c>
      <c r="AK31" s="436"/>
      <c r="AL31" s="437"/>
      <c r="AM31" s="437"/>
      <c r="AN31" s="610"/>
      <c r="AO31" s="610"/>
      <c r="AP31" s="420"/>
      <c r="AQ31" s="420"/>
      <c r="AR31" s="630" t="s">
        <v>328</v>
      </c>
      <c r="AS31" s="609"/>
      <c r="AT31" s="30"/>
      <c r="AU31" s="570">
        <v>0.3</v>
      </c>
      <c r="AV31" s="123">
        <v>44958</v>
      </c>
      <c r="AW31" s="124">
        <v>45275</v>
      </c>
      <c r="AX31" s="29">
        <f t="shared" si="2"/>
        <v>317</v>
      </c>
      <c r="AY31" s="609">
        <v>144</v>
      </c>
      <c r="AZ31" s="611">
        <v>0</v>
      </c>
      <c r="BA31" s="367">
        <f>60+14+89+6</f>
        <v>169</v>
      </c>
      <c r="BB31" s="334">
        <v>1</v>
      </c>
      <c r="BC31" s="331"/>
      <c r="BD31" s="367">
        <f>60+14+89+6+81</f>
        <v>250</v>
      </c>
      <c r="BE31" s="334">
        <v>1</v>
      </c>
      <c r="BF31" s="331"/>
      <c r="BG31" s="367">
        <f>60+14+89+6+81</f>
        <v>250</v>
      </c>
      <c r="BH31" s="334">
        <v>1</v>
      </c>
      <c r="BI31" s="331"/>
      <c r="BJ31" s="367">
        <f>60+14+89+6+81+4</f>
        <v>254</v>
      </c>
      <c r="BK31" s="334">
        <v>1</v>
      </c>
      <c r="BL31" s="331"/>
      <c r="BM31" s="367">
        <f>60+14+89+6+81+4+64</f>
        <v>318</v>
      </c>
      <c r="BN31" s="334">
        <v>1</v>
      </c>
      <c r="BO31" s="331"/>
      <c r="BP31" s="420"/>
      <c r="BQ31" s="420"/>
      <c r="BR31" s="420"/>
      <c r="BS31" s="60">
        <v>461204590</v>
      </c>
      <c r="BT31" s="48" t="s">
        <v>291</v>
      </c>
      <c r="BU31" s="420"/>
      <c r="BV31" s="420"/>
      <c r="BW31" s="571"/>
      <c r="BX31" s="571"/>
      <c r="BY31" s="562"/>
      <c r="BZ31" s="573"/>
      <c r="CA31" s="573"/>
      <c r="CB31" s="573"/>
      <c r="CC31" s="449"/>
      <c r="CD31" s="449"/>
      <c r="CE31" s="604"/>
      <c r="CF31" s="517"/>
      <c r="CG31" s="449"/>
      <c r="CH31" s="477"/>
      <c r="CI31" s="477"/>
      <c r="CJ31" s="449"/>
      <c r="CK31" s="477"/>
      <c r="CL31" s="477"/>
      <c r="CM31" s="449"/>
      <c r="CN31" s="479"/>
      <c r="CO31" s="479"/>
      <c r="CP31" s="390"/>
      <c r="CQ31" s="479"/>
      <c r="CR31" s="479"/>
      <c r="CS31" s="390"/>
      <c r="CT31" s="523"/>
      <c r="CU31" s="525"/>
      <c r="CV31" s="390"/>
      <c r="CW31" s="397"/>
      <c r="CX31" s="392"/>
      <c r="CY31" s="390"/>
      <c r="CZ31" s="464"/>
      <c r="DA31" s="464"/>
      <c r="DB31" s="464"/>
      <c r="DC31" s="390"/>
      <c r="DD31" s="390"/>
      <c r="DE31" s="397"/>
      <c r="DF31" s="392"/>
      <c r="DG31" s="390"/>
      <c r="DH31" s="397"/>
      <c r="DI31" s="392"/>
      <c r="DJ31" s="390"/>
      <c r="DK31" s="397"/>
      <c r="DL31" s="392"/>
      <c r="DM31" s="390"/>
      <c r="DN31" s="48" t="s">
        <v>208</v>
      </c>
      <c r="DO31" s="527" t="s">
        <v>329</v>
      </c>
      <c r="DP31" s="494" t="s">
        <v>330</v>
      </c>
      <c r="DQ31" s="494" t="s">
        <v>241</v>
      </c>
      <c r="DR31" s="514">
        <v>44927</v>
      </c>
      <c r="DS31" s="529"/>
      <c r="DT31" s="492"/>
      <c r="DU31" s="496" t="s">
        <v>331</v>
      </c>
      <c r="DV31" s="315" t="s">
        <v>332</v>
      </c>
      <c r="DW31" s="313" t="s">
        <v>333</v>
      </c>
      <c r="DX31" s="313" t="s">
        <v>334</v>
      </c>
      <c r="DY31" s="313" t="s">
        <v>335</v>
      </c>
      <c r="DZ31" s="313" t="s">
        <v>336</v>
      </c>
      <c r="EA31" s="313" t="s">
        <v>337</v>
      </c>
      <c r="EB31" s="313" t="s">
        <v>338</v>
      </c>
      <c r="EC31" s="313" t="s">
        <v>756</v>
      </c>
      <c r="ED31" s="313" t="s">
        <v>776</v>
      </c>
      <c r="EE31" s="492"/>
      <c r="EF31" s="492"/>
    </row>
    <row r="32" spans="1:136" ht="291" customHeight="1" x14ac:dyDescent="0.4">
      <c r="A32" s="633"/>
      <c r="B32" s="633"/>
      <c r="C32" s="633"/>
      <c r="D32" s="621"/>
      <c r="E32" s="376"/>
      <c r="F32" s="621"/>
      <c r="G32" s="376"/>
      <c r="H32" s="376"/>
      <c r="I32" s="376"/>
      <c r="J32" s="376"/>
      <c r="K32" s="568"/>
      <c r="L32" s="568"/>
      <c r="M32" s="568"/>
      <c r="N32" s="625"/>
      <c r="O32" s="568"/>
      <c r="P32" s="436"/>
      <c r="Q32" s="436"/>
      <c r="R32" s="436"/>
      <c r="S32" s="609"/>
      <c r="T32" s="609"/>
      <c r="U32" s="609"/>
      <c r="V32" s="351"/>
      <c r="W32" s="333"/>
      <c r="X32" s="333"/>
      <c r="Y32" s="351"/>
      <c r="Z32" s="333"/>
      <c r="AA32" s="333"/>
      <c r="AB32" s="351"/>
      <c r="AC32" s="333"/>
      <c r="AD32" s="333"/>
      <c r="AE32" s="351"/>
      <c r="AF32" s="333"/>
      <c r="AG32" s="333"/>
      <c r="AH32" s="351"/>
      <c r="AI32" s="333"/>
      <c r="AJ32" s="333"/>
      <c r="AK32" s="436"/>
      <c r="AL32" s="437"/>
      <c r="AM32" s="437"/>
      <c r="AN32" s="610"/>
      <c r="AO32" s="610"/>
      <c r="AP32" s="420"/>
      <c r="AQ32" s="420"/>
      <c r="AR32" s="630"/>
      <c r="AS32" s="609"/>
      <c r="AT32" s="30"/>
      <c r="AU32" s="570"/>
      <c r="AV32" s="123">
        <v>44958</v>
      </c>
      <c r="AW32" s="124">
        <v>45275</v>
      </c>
      <c r="AX32" s="29">
        <f t="shared" si="2"/>
        <v>317</v>
      </c>
      <c r="AY32" s="609"/>
      <c r="AZ32" s="611"/>
      <c r="BA32" s="369"/>
      <c r="BB32" s="359"/>
      <c r="BC32" s="331"/>
      <c r="BD32" s="369"/>
      <c r="BE32" s="359"/>
      <c r="BF32" s="331"/>
      <c r="BG32" s="369"/>
      <c r="BH32" s="359"/>
      <c r="BI32" s="331"/>
      <c r="BJ32" s="369"/>
      <c r="BK32" s="359"/>
      <c r="BL32" s="331"/>
      <c r="BM32" s="369"/>
      <c r="BN32" s="359"/>
      <c r="BO32" s="331"/>
      <c r="BP32" s="420"/>
      <c r="BQ32" s="420"/>
      <c r="BR32" s="420"/>
      <c r="BS32" s="60">
        <v>325841935</v>
      </c>
      <c r="BT32" s="48" t="s">
        <v>205</v>
      </c>
      <c r="BU32" s="420"/>
      <c r="BV32" s="420"/>
      <c r="BW32" s="571"/>
      <c r="BX32" s="571"/>
      <c r="BY32" s="562"/>
      <c r="BZ32" s="573"/>
      <c r="CA32" s="573"/>
      <c r="CB32" s="573"/>
      <c r="CC32" s="449"/>
      <c r="CD32" s="449"/>
      <c r="CE32" s="604"/>
      <c r="CF32" s="517"/>
      <c r="CG32" s="449"/>
      <c r="CH32" s="477"/>
      <c r="CI32" s="477"/>
      <c r="CJ32" s="449"/>
      <c r="CK32" s="477"/>
      <c r="CL32" s="477"/>
      <c r="CM32" s="449"/>
      <c r="CN32" s="479"/>
      <c r="CO32" s="479"/>
      <c r="CP32" s="390"/>
      <c r="CQ32" s="479"/>
      <c r="CR32" s="479"/>
      <c r="CS32" s="390"/>
      <c r="CT32" s="523"/>
      <c r="CU32" s="525"/>
      <c r="CV32" s="390"/>
      <c r="CW32" s="397"/>
      <c r="CX32" s="392"/>
      <c r="CY32" s="390"/>
      <c r="CZ32" s="464"/>
      <c r="DA32" s="464"/>
      <c r="DB32" s="464"/>
      <c r="DC32" s="390"/>
      <c r="DD32" s="390"/>
      <c r="DE32" s="397"/>
      <c r="DF32" s="392"/>
      <c r="DG32" s="390"/>
      <c r="DH32" s="397"/>
      <c r="DI32" s="392"/>
      <c r="DJ32" s="390"/>
      <c r="DK32" s="397"/>
      <c r="DL32" s="392"/>
      <c r="DM32" s="390"/>
      <c r="DN32" s="48" t="s">
        <v>208</v>
      </c>
      <c r="DO32" s="528"/>
      <c r="DP32" s="495"/>
      <c r="DQ32" s="495"/>
      <c r="DR32" s="515"/>
      <c r="DS32" s="529"/>
      <c r="DT32" s="492"/>
      <c r="DU32" s="493"/>
      <c r="DV32" s="317"/>
      <c r="DW32" s="314"/>
      <c r="DX32" s="314"/>
      <c r="DY32" s="314"/>
      <c r="DZ32" s="314"/>
      <c r="EA32" s="314"/>
      <c r="EB32" s="314"/>
      <c r="EC32" s="314"/>
      <c r="ED32" s="314"/>
      <c r="EE32" s="492"/>
      <c r="EF32" s="492"/>
    </row>
    <row r="33" spans="1:142" ht="290.25" customHeight="1" x14ac:dyDescent="0.4">
      <c r="A33" s="633"/>
      <c r="B33" s="633"/>
      <c r="C33" s="633"/>
      <c r="D33" s="621"/>
      <c r="E33" s="376"/>
      <c r="F33" s="621"/>
      <c r="G33" s="376"/>
      <c r="H33" s="376"/>
      <c r="I33" s="376"/>
      <c r="J33" s="376"/>
      <c r="K33" s="568"/>
      <c r="L33" s="38" t="s">
        <v>339</v>
      </c>
      <c r="M33" s="37" t="s">
        <v>189</v>
      </c>
      <c r="N33" s="30">
        <v>49</v>
      </c>
      <c r="O33" s="37" t="s">
        <v>340</v>
      </c>
      <c r="P33" s="29"/>
      <c r="Q33" s="29" t="s">
        <v>193</v>
      </c>
      <c r="R33" s="29" t="s">
        <v>341</v>
      </c>
      <c r="S33" s="30">
        <v>20</v>
      </c>
      <c r="T33" s="30">
        <v>5</v>
      </c>
      <c r="U33" s="30">
        <v>116</v>
      </c>
      <c r="V33" s="41">
        <f>12+7+9+7</f>
        <v>35</v>
      </c>
      <c r="W33" s="36">
        <v>1</v>
      </c>
      <c r="X33" s="36">
        <v>1</v>
      </c>
      <c r="Y33" s="41">
        <f>12+7+9+7+5</f>
        <v>40</v>
      </c>
      <c r="Z33" s="36">
        <v>1</v>
      </c>
      <c r="AA33" s="36">
        <v>1</v>
      </c>
      <c r="AB33" s="41">
        <f>12+7+9+7+5+3</f>
        <v>43</v>
      </c>
      <c r="AC33" s="36">
        <v>1</v>
      </c>
      <c r="AD33" s="36">
        <v>1</v>
      </c>
      <c r="AE33" s="41">
        <f>12+7+9+7+5+3+1</f>
        <v>44</v>
      </c>
      <c r="AF33" s="36">
        <v>1</v>
      </c>
      <c r="AG33" s="36">
        <v>1</v>
      </c>
      <c r="AH33" s="41">
        <f>12+7+9+7+5+3+1+6</f>
        <v>50</v>
      </c>
      <c r="AI33" s="36">
        <v>1</v>
      </c>
      <c r="AJ33" s="36">
        <v>1</v>
      </c>
      <c r="AK33" s="436"/>
      <c r="AL33" s="437"/>
      <c r="AM33" s="437"/>
      <c r="AN33" s="610"/>
      <c r="AO33" s="610"/>
      <c r="AP33" s="420"/>
      <c r="AQ33" s="420"/>
      <c r="AR33" s="129" t="s">
        <v>342</v>
      </c>
      <c r="AS33" s="30"/>
      <c r="AT33" s="30"/>
      <c r="AU33" s="134">
        <v>0.17</v>
      </c>
      <c r="AV33" s="123">
        <v>44958</v>
      </c>
      <c r="AW33" s="124">
        <v>45275</v>
      </c>
      <c r="AX33" s="29">
        <f t="shared" si="2"/>
        <v>317</v>
      </c>
      <c r="AY33" s="30">
        <f>5*100</f>
        <v>500</v>
      </c>
      <c r="AZ33" s="31">
        <v>0</v>
      </c>
      <c r="BA33" s="41">
        <f>12+7+9+7</f>
        <v>35</v>
      </c>
      <c r="BB33" s="36">
        <v>1</v>
      </c>
      <c r="BC33" s="331"/>
      <c r="BD33" s="41">
        <f>12+7+9+7+5</f>
        <v>40</v>
      </c>
      <c r="BE33" s="36">
        <v>1</v>
      </c>
      <c r="BF33" s="331"/>
      <c r="BG33" s="41">
        <f>12+7+9+7+5+3</f>
        <v>43</v>
      </c>
      <c r="BH33" s="36">
        <v>1</v>
      </c>
      <c r="BI33" s="331"/>
      <c r="BJ33" s="41">
        <f>12+7+9+7+5+3+1</f>
        <v>44</v>
      </c>
      <c r="BK33" s="36">
        <v>1</v>
      </c>
      <c r="BL33" s="331"/>
      <c r="BM33" s="41">
        <f>12+7+9+7+5+3+1+6</f>
        <v>50</v>
      </c>
      <c r="BN33" s="36">
        <v>1</v>
      </c>
      <c r="BO33" s="331"/>
      <c r="BP33" s="420"/>
      <c r="BQ33" s="420"/>
      <c r="BR33" s="420"/>
      <c r="BS33" s="62">
        <v>45320000</v>
      </c>
      <c r="BT33" s="48" t="s">
        <v>291</v>
      </c>
      <c r="BU33" s="420"/>
      <c r="BV33" s="420"/>
      <c r="BW33" s="571"/>
      <c r="BX33" s="571"/>
      <c r="BY33" s="562"/>
      <c r="BZ33" s="574"/>
      <c r="CA33" s="574"/>
      <c r="CB33" s="574"/>
      <c r="CC33" s="450"/>
      <c r="CD33" s="450"/>
      <c r="CE33" s="605"/>
      <c r="CF33" s="518"/>
      <c r="CG33" s="450"/>
      <c r="CH33" s="478"/>
      <c r="CI33" s="478"/>
      <c r="CJ33" s="450"/>
      <c r="CK33" s="478"/>
      <c r="CL33" s="478"/>
      <c r="CM33" s="450"/>
      <c r="CN33" s="480"/>
      <c r="CO33" s="480"/>
      <c r="CP33" s="391"/>
      <c r="CQ33" s="480"/>
      <c r="CR33" s="480"/>
      <c r="CS33" s="391"/>
      <c r="CT33" s="524"/>
      <c r="CU33" s="526"/>
      <c r="CV33" s="391"/>
      <c r="CW33" s="398"/>
      <c r="CX33" s="393"/>
      <c r="CY33" s="391"/>
      <c r="CZ33" s="465"/>
      <c r="DA33" s="465"/>
      <c r="DB33" s="465"/>
      <c r="DC33" s="391"/>
      <c r="DD33" s="391"/>
      <c r="DE33" s="398"/>
      <c r="DF33" s="393"/>
      <c r="DG33" s="391"/>
      <c r="DH33" s="398"/>
      <c r="DI33" s="393"/>
      <c r="DJ33" s="391"/>
      <c r="DK33" s="398"/>
      <c r="DL33" s="393"/>
      <c r="DM33" s="391"/>
      <c r="DN33" s="48" t="s">
        <v>208</v>
      </c>
      <c r="DO33" s="48" t="s">
        <v>209</v>
      </c>
      <c r="DP33" s="66" t="s">
        <v>210</v>
      </c>
      <c r="DQ33" s="48" t="s">
        <v>291</v>
      </c>
      <c r="DR33" s="71">
        <v>44927</v>
      </c>
      <c r="DS33" s="495"/>
      <c r="DT33" s="493"/>
      <c r="DU33" s="80" t="s">
        <v>343</v>
      </c>
      <c r="DV33" s="68" t="s">
        <v>344</v>
      </c>
      <c r="DW33" s="82" t="s">
        <v>345</v>
      </c>
      <c r="DX33" s="82" t="s">
        <v>346</v>
      </c>
      <c r="DY33" s="82" t="s">
        <v>347</v>
      </c>
      <c r="DZ33" s="82" t="s">
        <v>348</v>
      </c>
      <c r="EA33" s="82" t="s">
        <v>349</v>
      </c>
      <c r="EB33" s="82" t="s">
        <v>350</v>
      </c>
      <c r="EC33" s="82" t="s">
        <v>730</v>
      </c>
      <c r="ED33" s="82" t="s">
        <v>777</v>
      </c>
      <c r="EE33" s="493"/>
      <c r="EF33" s="493"/>
    </row>
    <row r="34" spans="1:142" s="100" customFormat="1" ht="50.25" customHeight="1" x14ac:dyDescent="0.5">
      <c r="A34" s="633"/>
      <c r="B34" s="633"/>
      <c r="C34" s="633"/>
      <c r="D34" s="621"/>
      <c r="E34" s="376"/>
      <c r="F34" s="621"/>
      <c r="G34" s="376"/>
      <c r="H34" s="376"/>
      <c r="I34" s="376"/>
      <c r="J34" s="376"/>
      <c r="K34" s="637" t="s">
        <v>281</v>
      </c>
      <c r="L34" s="638"/>
      <c r="M34" s="638"/>
      <c r="N34" s="638"/>
      <c r="O34" s="638"/>
      <c r="P34" s="638"/>
      <c r="Q34" s="638"/>
      <c r="R34" s="638"/>
      <c r="S34" s="638"/>
      <c r="T34" s="638"/>
      <c r="U34" s="638"/>
      <c r="V34" s="170"/>
      <c r="W34" s="171">
        <f>+AVERAGE(W26:W33)</f>
        <v>0.87250000000000005</v>
      </c>
      <c r="X34" s="171">
        <f>+AVERAGE(X26:X33)</f>
        <v>0.95750000000000002</v>
      </c>
      <c r="Y34" s="170"/>
      <c r="Z34" s="171">
        <f>+AVERAGE(Z26:Z33)</f>
        <v>0.87250000000000005</v>
      </c>
      <c r="AA34" s="171">
        <f>+AVERAGE(AA26:AA33)</f>
        <v>0.95750000000000002</v>
      </c>
      <c r="AB34" s="170"/>
      <c r="AC34" s="171">
        <f>+AVERAGE(AC26:AC33)</f>
        <v>0.87250000000000005</v>
      </c>
      <c r="AD34" s="171">
        <f>+AVERAGE(AD26:AD33)</f>
        <v>0.95750000000000002</v>
      </c>
      <c r="AE34" s="170"/>
      <c r="AF34" s="171">
        <f>+AVERAGE(AF26:AF33)</f>
        <v>0.91</v>
      </c>
      <c r="AG34" s="171">
        <f>+AVERAGE(AG26:AG33)</f>
        <v>0.96687500000000004</v>
      </c>
      <c r="AH34" s="170"/>
      <c r="AI34" s="171">
        <f>+AVERAGE(AI26:AI33)</f>
        <v>0.9325</v>
      </c>
      <c r="AJ34" s="171">
        <f>+AVERAGE(AJ26:AJ33)</f>
        <v>0.9325</v>
      </c>
      <c r="AK34" s="102"/>
      <c r="AL34" s="103"/>
      <c r="AM34" s="103"/>
      <c r="AN34" s="112"/>
      <c r="AO34" s="112"/>
      <c r="AP34" s="105"/>
      <c r="AQ34" s="106" t="s">
        <v>282</v>
      </c>
      <c r="AR34" s="130"/>
      <c r="AS34" s="106"/>
      <c r="AT34" s="106"/>
      <c r="AU34" s="244"/>
      <c r="AV34" s="125"/>
      <c r="AW34" s="126"/>
      <c r="AX34" s="107"/>
      <c r="AY34" s="98"/>
      <c r="AZ34" s="98"/>
      <c r="BA34" s="170"/>
      <c r="BB34" s="171">
        <f>+AVERAGE(BB26:BB33)</f>
        <v>0.87250000000000005</v>
      </c>
      <c r="BC34" s="171">
        <f>+AVERAGE(BC26:BC33)</f>
        <v>0.87250000000000005</v>
      </c>
      <c r="BD34" s="170"/>
      <c r="BE34" s="173">
        <f>+AVERAGE(BE26:BE33)</f>
        <v>0.87250000000000005</v>
      </c>
      <c r="BF34" s="173">
        <f>+AVERAGE(BF26:BF33)</f>
        <v>0.87250000000000005</v>
      </c>
      <c r="BG34" s="170"/>
      <c r="BH34" s="173">
        <f>+AVERAGE(BH26:BH33)</f>
        <v>0.87250000000000005</v>
      </c>
      <c r="BI34" s="173">
        <f>+AVERAGE(BI26:BI33)</f>
        <v>0.87250000000000005</v>
      </c>
      <c r="BJ34" s="170"/>
      <c r="BK34" s="173">
        <f>+AVERAGE(BK26:BK33)</f>
        <v>0.91</v>
      </c>
      <c r="BL34" s="173">
        <f>+AVERAGE(BL26:BL33)</f>
        <v>0.91</v>
      </c>
      <c r="BM34" s="170"/>
      <c r="BN34" s="173">
        <f>+AVERAGE(BN26:BN33)</f>
        <v>0.9325</v>
      </c>
      <c r="BO34" s="173">
        <f>+AVERAGE(BO26:BO33)</f>
        <v>0.9325</v>
      </c>
      <c r="BP34" s="105"/>
      <c r="BQ34" s="105"/>
      <c r="BR34" s="105"/>
      <c r="BS34" s="105"/>
      <c r="BT34" s="105"/>
      <c r="BU34" s="105"/>
      <c r="BV34" s="105"/>
      <c r="BW34" s="108">
        <f t="shared" ref="BW34:BY34" si="3">BW26</f>
        <v>2145805725</v>
      </c>
      <c r="BX34" s="108">
        <f t="shared" si="3"/>
        <v>535597200</v>
      </c>
      <c r="BY34" s="109">
        <f t="shared" si="3"/>
        <v>0.24960190652860711</v>
      </c>
      <c r="BZ34" s="143">
        <v>2145805725</v>
      </c>
      <c r="CA34" s="143">
        <v>535597200</v>
      </c>
      <c r="CB34" s="143">
        <v>0</v>
      </c>
      <c r="CC34" s="109">
        <f>CA34/BZ34</f>
        <v>0.24960190652860711</v>
      </c>
      <c r="CD34" s="109">
        <f>CB34/BZ34</f>
        <v>0</v>
      </c>
      <c r="CE34" s="160">
        <v>2145805725</v>
      </c>
      <c r="CF34" s="160">
        <v>535597200</v>
      </c>
      <c r="CG34" s="109">
        <f>CF34/CE34</f>
        <v>0.24960190652860711</v>
      </c>
      <c r="CH34" s="160">
        <v>3184570320.29</v>
      </c>
      <c r="CI34" s="160">
        <v>967597200</v>
      </c>
      <c r="CJ34" s="109">
        <f>CI34/CH34</f>
        <v>0.30383916908196479</v>
      </c>
      <c r="CK34" s="160">
        <v>3184570320.29</v>
      </c>
      <c r="CL34" s="160">
        <v>967597200</v>
      </c>
      <c r="CM34" s="109">
        <f>CL34/CK34</f>
        <v>0.30383916908196479</v>
      </c>
      <c r="CN34" s="108">
        <f t="shared" ref="CN34:CR34" si="4">CN26</f>
        <v>3184570320.29</v>
      </c>
      <c r="CO34" s="108">
        <f t="shared" si="4"/>
        <v>1017597200</v>
      </c>
      <c r="CP34" s="114">
        <f t="shared" si="4"/>
        <v>0.31953987434867931</v>
      </c>
      <c r="CQ34" s="108">
        <f t="shared" si="4"/>
        <v>3184570320.29</v>
      </c>
      <c r="CR34" s="108">
        <f t="shared" si="4"/>
        <v>1109034200</v>
      </c>
      <c r="CS34" s="114">
        <f t="shared" ref="CS34" si="5">CS26</f>
        <v>0.31953987434867931</v>
      </c>
      <c r="CT34" s="108">
        <f>CT26</f>
        <v>3760570320.29</v>
      </c>
      <c r="CU34" s="108">
        <f>CU26</f>
        <v>1802634200</v>
      </c>
      <c r="CV34" s="114">
        <f>CR34/CQ34</f>
        <v>0.34825238209813086</v>
      </c>
      <c r="CW34" s="108">
        <f>CW26</f>
        <v>3760570320.29</v>
      </c>
      <c r="CX34" s="243">
        <f>CX26</f>
        <v>1873365237.99</v>
      </c>
      <c r="CY34" s="114">
        <f>CX34/CW34</f>
        <v>0.49815987428351921</v>
      </c>
      <c r="CZ34" s="143">
        <v>3760570320.29</v>
      </c>
      <c r="DA34" s="143">
        <v>2133597200</v>
      </c>
      <c r="DB34" s="143">
        <v>2083597200</v>
      </c>
      <c r="DC34" s="114">
        <f>DA34/CZ34</f>
        <v>0.56736000613743753</v>
      </c>
      <c r="DD34" s="114">
        <f>DB34/CZ34</f>
        <v>0.55406415052473246</v>
      </c>
      <c r="DE34" s="108">
        <f>DE26</f>
        <v>3760570320.29</v>
      </c>
      <c r="DF34" s="243">
        <f>DF26</f>
        <v>3063193334.2199998</v>
      </c>
      <c r="DG34" s="114">
        <f>DF34/DE34</f>
        <v>0.81455552571179646</v>
      </c>
      <c r="DH34" s="108">
        <f>DH26</f>
        <v>3760570320.29</v>
      </c>
      <c r="DI34" s="243">
        <f>DI26</f>
        <v>3100412374.2199998</v>
      </c>
      <c r="DJ34" s="114">
        <f>DI34/DH34</f>
        <v>0.82445270534946635</v>
      </c>
      <c r="DK34" s="108">
        <f>DK26</f>
        <v>3760570320.29</v>
      </c>
      <c r="DL34" s="243">
        <f>DL26</f>
        <v>3455472364</v>
      </c>
      <c r="DM34" s="114">
        <f>DL34/DK34</f>
        <v>0.91886923250873498</v>
      </c>
      <c r="DN34" s="105"/>
      <c r="DO34" s="105"/>
      <c r="DP34" s="110"/>
      <c r="DQ34" s="111"/>
      <c r="DR34" s="110"/>
      <c r="DS34" s="110"/>
      <c r="DT34" s="110"/>
      <c r="DU34" s="110"/>
      <c r="DV34" s="110"/>
      <c r="DW34" s="110"/>
      <c r="DX34" s="110"/>
      <c r="DY34" s="110"/>
      <c r="DZ34" s="110"/>
      <c r="EA34" s="110"/>
      <c r="EB34" s="110"/>
      <c r="EC34" s="110"/>
      <c r="ED34" s="110"/>
      <c r="EE34" s="110"/>
      <c r="EF34" s="110"/>
    </row>
    <row r="35" spans="1:142" ht="50.25" customHeight="1" x14ac:dyDescent="0.4">
      <c r="A35" s="633"/>
      <c r="B35" s="633"/>
      <c r="C35" s="633"/>
      <c r="D35" s="621"/>
      <c r="E35" s="376"/>
      <c r="F35" s="621"/>
      <c r="G35" s="376"/>
      <c r="H35" s="376"/>
      <c r="I35" s="376"/>
      <c r="J35" s="376"/>
      <c r="K35" s="568" t="s">
        <v>351</v>
      </c>
      <c r="L35" s="436" t="s">
        <v>352</v>
      </c>
      <c r="M35" s="436" t="s">
        <v>189</v>
      </c>
      <c r="N35" s="612">
        <v>100881</v>
      </c>
      <c r="O35" s="610" t="s">
        <v>353</v>
      </c>
      <c r="P35" s="615"/>
      <c r="Q35" s="615" t="s">
        <v>193</v>
      </c>
      <c r="R35" s="615" t="s">
        <v>354</v>
      </c>
      <c r="S35" s="612">
        <v>120000</v>
      </c>
      <c r="T35" s="612">
        <v>15000</v>
      </c>
      <c r="U35" s="612">
        <v>123130</v>
      </c>
      <c r="V35" s="352">
        <f>582+240+3119+222+243</f>
        <v>4406</v>
      </c>
      <c r="W35" s="332">
        <f>V35/T35</f>
        <v>0.29373333333333335</v>
      </c>
      <c r="X35" s="332">
        <f>(V35+U35)/S35</f>
        <v>1.0628</v>
      </c>
      <c r="Y35" s="352">
        <f>582+240+3119+222+243+40</f>
        <v>4446</v>
      </c>
      <c r="Z35" s="334">
        <f t="shared" ref="Z35" si="6">Y35/T35</f>
        <v>0.2964</v>
      </c>
      <c r="AA35" s="334">
        <f>(Y35+U35)/S35</f>
        <v>1.0631333333333333</v>
      </c>
      <c r="AB35" s="352">
        <f>582+240+3119+222+243+40+902</f>
        <v>5348</v>
      </c>
      <c r="AC35" s="334">
        <f>AB35/T35</f>
        <v>0.35653333333333331</v>
      </c>
      <c r="AD35" s="334">
        <f>(AB35+U35)/S35</f>
        <v>1.0706500000000001</v>
      </c>
      <c r="AE35" s="352">
        <f>582+240+3119+222+243+40+902+3732</f>
        <v>9080</v>
      </c>
      <c r="AF35" s="334">
        <f>AE35/T35</f>
        <v>0.60533333333333328</v>
      </c>
      <c r="AG35" s="334">
        <f>(AE35+U35)/S35</f>
        <v>1.10175</v>
      </c>
      <c r="AH35" s="352">
        <f>582+240+3119+222+243+40+902+3732+1627+3620+700</f>
        <v>15027</v>
      </c>
      <c r="AI35" s="334">
        <f>AH35/T35</f>
        <v>1.0018</v>
      </c>
      <c r="AJ35" s="334">
        <v>1</v>
      </c>
      <c r="AK35" s="436" t="s">
        <v>195</v>
      </c>
      <c r="AL35" s="437" t="s">
        <v>196</v>
      </c>
      <c r="AM35" s="437" t="s">
        <v>197</v>
      </c>
      <c r="AN35" s="569" t="s">
        <v>355</v>
      </c>
      <c r="AO35" s="569" t="s">
        <v>356</v>
      </c>
      <c r="AP35" s="569" t="s">
        <v>357</v>
      </c>
      <c r="AQ35" s="420" t="s">
        <v>358</v>
      </c>
      <c r="AR35" s="68" t="s">
        <v>359</v>
      </c>
      <c r="AS35" s="436"/>
      <c r="AT35" s="30"/>
      <c r="AU35" s="134">
        <v>0.05</v>
      </c>
      <c r="AV35" s="123">
        <v>44958</v>
      </c>
      <c r="AW35" s="124">
        <v>45275</v>
      </c>
      <c r="AX35" s="29">
        <f t="shared" ref="AX35:AX45" si="7">+AW35-AV35</f>
        <v>317</v>
      </c>
      <c r="AY35" s="436">
        <v>15000</v>
      </c>
      <c r="AZ35" s="436">
        <v>582</v>
      </c>
      <c r="BA35" s="370">
        <f>582+240+3119+222+243</f>
        <v>4406</v>
      </c>
      <c r="BB35" s="360">
        <f>BA35/T35</f>
        <v>0.29373333333333335</v>
      </c>
      <c r="BC35" s="331">
        <f>+AVERAGE(BB35:BB45)</f>
        <v>0.14686666666666667</v>
      </c>
      <c r="BD35" s="370">
        <f>582+240+3119+222+243+40</f>
        <v>4446</v>
      </c>
      <c r="BE35" s="360">
        <f>BD35/T35</f>
        <v>0.2964</v>
      </c>
      <c r="BF35" s="331">
        <f>+AVERAGE(BE35:BE45)</f>
        <v>0.1482</v>
      </c>
      <c r="BG35" s="370">
        <f>582+240+3119+222+243+40+902</f>
        <v>5348</v>
      </c>
      <c r="BH35" s="360">
        <f>BG35/T35</f>
        <v>0.35653333333333331</v>
      </c>
      <c r="BI35" s="331">
        <f>+AVERAGE(BH35+BH43)</f>
        <v>0.35653333333333331</v>
      </c>
      <c r="BJ35" s="370">
        <f>582+240+3119+222+243+40+902+3732</f>
        <v>9080</v>
      </c>
      <c r="BK35" s="360">
        <f>BJ35/T35</f>
        <v>0.60533333333333328</v>
      </c>
      <c r="BL35" s="331">
        <f>+AVERAGE(BK35+BK43)/2</f>
        <v>0.71933333333333338</v>
      </c>
      <c r="BM35" s="370">
        <f>582+240+3119+222+243+40+902+3732+1627+3620+700</f>
        <v>15027</v>
      </c>
      <c r="BN35" s="360">
        <f>BM35/T35</f>
        <v>1.0018</v>
      </c>
      <c r="BO35" s="331">
        <f>+AVERAGE(BN35+BN43)/2</f>
        <v>1.0009000000000001</v>
      </c>
      <c r="BP35" s="420" t="s">
        <v>202</v>
      </c>
      <c r="BQ35" s="420" t="s">
        <v>203</v>
      </c>
      <c r="BR35" s="420" t="s">
        <v>204</v>
      </c>
      <c r="BS35" s="60">
        <v>92275510</v>
      </c>
      <c r="BT35" s="48" t="s">
        <v>291</v>
      </c>
      <c r="BU35" s="420" t="s">
        <v>360</v>
      </c>
      <c r="BV35" s="420" t="s">
        <v>361</v>
      </c>
      <c r="BW35" s="461">
        <v>2050592850</v>
      </c>
      <c r="BX35" s="461">
        <v>508613862</v>
      </c>
      <c r="BY35" s="462">
        <f>BX35/BW35</f>
        <v>0.24803259311081671</v>
      </c>
      <c r="BZ35" s="455">
        <v>2050592850</v>
      </c>
      <c r="CA35" s="455">
        <v>508613870</v>
      </c>
      <c r="CB35" s="455">
        <v>440172912</v>
      </c>
      <c r="CC35" s="458">
        <f>CA35/BZ35</f>
        <v>0.24803259701212749</v>
      </c>
      <c r="CD35" s="458">
        <f>CB35/BZ35</f>
        <v>0.21465641607011357</v>
      </c>
      <c r="CE35" s="470">
        <v>2050592850</v>
      </c>
      <c r="CF35" s="470">
        <v>508613862</v>
      </c>
      <c r="CG35" s="417">
        <f>CF35/CE35</f>
        <v>0.24803259311081671</v>
      </c>
      <c r="CH35" s="470">
        <v>2438097926.3099999</v>
      </c>
      <c r="CI35" s="470">
        <v>508613862</v>
      </c>
      <c r="CJ35" s="417">
        <f>CI35/CH35</f>
        <v>0.20861092432401776</v>
      </c>
      <c r="CK35" s="470">
        <v>2438097926.3099999</v>
      </c>
      <c r="CL35" s="470">
        <v>508613862</v>
      </c>
      <c r="CM35" s="417">
        <f>CL35/CK35</f>
        <v>0.20861092432401776</v>
      </c>
      <c r="CN35" s="386">
        <v>2438097926.3099999</v>
      </c>
      <c r="CO35" s="386">
        <v>508613862</v>
      </c>
      <c r="CP35" s="389">
        <f>CO35/CN35</f>
        <v>0.20861092432401776</v>
      </c>
      <c r="CQ35" s="386">
        <v>2438097926.3099999</v>
      </c>
      <c r="CR35" s="386">
        <v>508613862</v>
      </c>
      <c r="CS35" s="389">
        <f>CO35/CN35</f>
        <v>0.20861092432401776</v>
      </c>
      <c r="CT35" s="386">
        <v>2438097926.3099999</v>
      </c>
      <c r="CU35" s="386">
        <v>508613862</v>
      </c>
      <c r="CV35" s="389">
        <f>CR35/CQ35</f>
        <v>0.20861092432401776</v>
      </c>
      <c r="CW35" s="386">
        <v>2438097926.3099999</v>
      </c>
      <c r="CX35" s="386">
        <v>542350026.33000004</v>
      </c>
      <c r="CY35" s="389">
        <f>CX35/CW35</f>
        <v>0.22244800771839104</v>
      </c>
      <c r="CZ35" s="463">
        <v>2438097926.3099999</v>
      </c>
      <c r="DA35" s="463">
        <v>1024748964.6</v>
      </c>
      <c r="DB35" s="463">
        <v>955289226</v>
      </c>
      <c r="DC35" s="389">
        <f>DA35/CZ35</f>
        <v>0.42030672908652683</v>
      </c>
      <c r="DD35" s="389">
        <f>DB35/CZ35</f>
        <v>0.39181741458834934</v>
      </c>
      <c r="DE35" s="386">
        <v>2438097926.3099999</v>
      </c>
      <c r="DF35" s="386">
        <v>1295205718.4400001</v>
      </c>
      <c r="DG35" s="389">
        <f>DF35/DE35</f>
        <v>0.53123613471927333</v>
      </c>
      <c r="DH35" s="386">
        <v>2438097926.3099999</v>
      </c>
      <c r="DI35" s="386">
        <v>1370844648.4400001</v>
      </c>
      <c r="DJ35" s="389">
        <f>DI35/DH35</f>
        <v>0.56225988039567343</v>
      </c>
      <c r="DK35" s="386">
        <v>2438097926.3099999</v>
      </c>
      <c r="DL35" s="386">
        <v>1480529600</v>
      </c>
      <c r="DM35" s="389">
        <f>DL35/DK35</f>
        <v>0.6072477992058114</v>
      </c>
      <c r="DN35" s="48" t="s">
        <v>208</v>
      </c>
      <c r="DO35" s="48" t="s">
        <v>209</v>
      </c>
      <c r="DP35" s="66" t="s">
        <v>210</v>
      </c>
      <c r="DQ35" s="48" t="s">
        <v>291</v>
      </c>
      <c r="DR35" s="71">
        <v>44927</v>
      </c>
      <c r="DS35" s="494" t="s">
        <v>362</v>
      </c>
      <c r="DT35" s="497" t="s">
        <v>363</v>
      </c>
      <c r="DU35" s="469" t="s">
        <v>364</v>
      </c>
      <c r="DV35" s="315" t="s">
        <v>365</v>
      </c>
      <c r="DW35" s="315" t="s">
        <v>366</v>
      </c>
      <c r="DX35" s="315" t="s">
        <v>367</v>
      </c>
      <c r="DY35" s="315" t="s">
        <v>368</v>
      </c>
      <c r="DZ35" s="315" t="s">
        <v>369</v>
      </c>
      <c r="EA35" s="315" t="s">
        <v>370</v>
      </c>
      <c r="EB35" s="315" t="s">
        <v>371</v>
      </c>
      <c r="EC35" s="315" t="s">
        <v>740</v>
      </c>
      <c r="ED35" s="315" t="s">
        <v>781</v>
      </c>
      <c r="EE35" s="496" t="s">
        <v>221</v>
      </c>
      <c r="EF35" s="496" t="s">
        <v>306</v>
      </c>
    </row>
    <row r="36" spans="1:142" ht="50.25" customHeight="1" x14ac:dyDescent="0.4">
      <c r="A36" s="633"/>
      <c r="B36" s="633"/>
      <c r="C36" s="633"/>
      <c r="D36" s="621"/>
      <c r="E36" s="376"/>
      <c r="F36" s="621"/>
      <c r="G36" s="376"/>
      <c r="H36" s="376"/>
      <c r="I36" s="376"/>
      <c r="J36" s="376"/>
      <c r="K36" s="568"/>
      <c r="L36" s="436"/>
      <c r="M36" s="436"/>
      <c r="N36" s="612"/>
      <c r="O36" s="610"/>
      <c r="P36" s="615"/>
      <c r="Q36" s="615"/>
      <c r="R36" s="615"/>
      <c r="S36" s="612"/>
      <c r="T36" s="612"/>
      <c r="U36" s="612"/>
      <c r="V36" s="352"/>
      <c r="W36" s="332"/>
      <c r="X36" s="332"/>
      <c r="Y36" s="352"/>
      <c r="Z36" s="335"/>
      <c r="AA36" s="335"/>
      <c r="AB36" s="352"/>
      <c r="AC36" s="335"/>
      <c r="AD36" s="335"/>
      <c r="AE36" s="352"/>
      <c r="AF36" s="335"/>
      <c r="AG36" s="335"/>
      <c r="AH36" s="352"/>
      <c r="AI36" s="335"/>
      <c r="AJ36" s="335"/>
      <c r="AK36" s="436"/>
      <c r="AL36" s="437"/>
      <c r="AM36" s="437"/>
      <c r="AN36" s="569"/>
      <c r="AO36" s="569"/>
      <c r="AP36" s="569"/>
      <c r="AQ36" s="420"/>
      <c r="AR36" s="68" t="s">
        <v>372</v>
      </c>
      <c r="AS36" s="436"/>
      <c r="AT36" s="30"/>
      <c r="AU36" s="134">
        <v>0.05</v>
      </c>
      <c r="AV36" s="123">
        <v>44958</v>
      </c>
      <c r="AW36" s="124">
        <v>45275</v>
      </c>
      <c r="AX36" s="29">
        <f t="shared" si="7"/>
        <v>317</v>
      </c>
      <c r="AY36" s="436"/>
      <c r="AZ36" s="436"/>
      <c r="BA36" s="371"/>
      <c r="BB36" s="361"/>
      <c r="BC36" s="331"/>
      <c r="BD36" s="371"/>
      <c r="BE36" s="361"/>
      <c r="BF36" s="331"/>
      <c r="BG36" s="371"/>
      <c r="BH36" s="361"/>
      <c r="BI36" s="331"/>
      <c r="BJ36" s="371"/>
      <c r="BK36" s="361"/>
      <c r="BL36" s="331"/>
      <c r="BM36" s="371"/>
      <c r="BN36" s="361"/>
      <c r="BO36" s="331"/>
      <c r="BP36" s="420"/>
      <c r="BQ36" s="420"/>
      <c r="BR36" s="420"/>
      <c r="BS36" s="60">
        <v>80524633.46099773</v>
      </c>
      <c r="BT36" s="48" t="s">
        <v>291</v>
      </c>
      <c r="BU36" s="420"/>
      <c r="BV36" s="420"/>
      <c r="BW36" s="461"/>
      <c r="BX36" s="461"/>
      <c r="BY36" s="462"/>
      <c r="BZ36" s="456"/>
      <c r="CA36" s="456"/>
      <c r="CB36" s="456"/>
      <c r="CC36" s="459"/>
      <c r="CD36" s="459"/>
      <c r="CE36" s="471"/>
      <c r="CF36" s="471"/>
      <c r="CG36" s="418"/>
      <c r="CH36" s="471"/>
      <c r="CI36" s="471"/>
      <c r="CJ36" s="418"/>
      <c r="CK36" s="471"/>
      <c r="CL36" s="471"/>
      <c r="CM36" s="418"/>
      <c r="CN36" s="446"/>
      <c r="CO36" s="446"/>
      <c r="CP36" s="390"/>
      <c r="CQ36" s="446"/>
      <c r="CR36" s="446"/>
      <c r="CS36" s="390"/>
      <c r="CT36" s="492"/>
      <c r="CU36" s="492"/>
      <c r="CV36" s="390"/>
      <c r="CW36" s="329"/>
      <c r="CX36" s="329"/>
      <c r="CY36" s="390"/>
      <c r="CZ36" s="464"/>
      <c r="DA36" s="464"/>
      <c r="DB36" s="464"/>
      <c r="DC36" s="390"/>
      <c r="DD36" s="390"/>
      <c r="DE36" s="329"/>
      <c r="DF36" s="329"/>
      <c r="DG36" s="390"/>
      <c r="DH36" s="329"/>
      <c r="DI36" s="329"/>
      <c r="DJ36" s="390"/>
      <c r="DK36" s="329"/>
      <c r="DL36" s="329"/>
      <c r="DM36" s="390"/>
      <c r="DN36" s="48" t="s">
        <v>208</v>
      </c>
      <c r="DO36" s="48" t="s">
        <v>373</v>
      </c>
      <c r="DP36" s="66" t="s">
        <v>374</v>
      </c>
      <c r="DQ36" s="48" t="s">
        <v>291</v>
      </c>
      <c r="DR36" s="71">
        <v>44927</v>
      </c>
      <c r="DS36" s="529"/>
      <c r="DT36" s="498"/>
      <c r="DU36" s="327"/>
      <c r="DV36" s="316"/>
      <c r="DW36" s="316"/>
      <c r="DX36" s="316"/>
      <c r="DY36" s="316"/>
      <c r="DZ36" s="316"/>
      <c r="EA36" s="316"/>
      <c r="EB36" s="316"/>
      <c r="EC36" s="316"/>
      <c r="ED36" s="316"/>
      <c r="EE36" s="492"/>
      <c r="EF36" s="492"/>
    </row>
    <row r="37" spans="1:142" ht="50.25" customHeight="1" x14ac:dyDescent="0.4">
      <c r="A37" s="633"/>
      <c r="B37" s="633"/>
      <c r="C37" s="633"/>
      <c r="D37" s="621"/>
      <c r="E37" s="376"/>
      <c r="F37" s="621"/>
      <c r="G37" s="376"/>
      <c r="H37" s="376"/>
      <c r="I37" s="376"/>
      <c r="J37" s="376"/>
      <c r="K37" s="568"/>
      <c r="L37" s="436"/>
      <c r="M37" s="436"/>
      <c r="N37" s="612"/>
      <c r="O37" s="610"/>
      <c r="P37" s="615"/>
      <c r="Q37" s="615" t="s">
        <v>193</v>
      </c>
      <c r="R37" s="615" t="s">
        <v>227</v>
      </c>
      <c r="S37" s="612"/>
      <c r="T37" s="612"/>
      <c r="U37" s="612"/>
      <c r="V37" s="352"/>
      <c r="W37" s="332"/>
      <c r="X37" s="332"/>
      <c r="Y37" s="352"/>
      <c r="Z37" s="335"/>
      <c r="AA37" s="335"/>
      <c r="AB37" s="352"/>
      <c r="AC37" s="335"/>
      <c r="AD37" s="335"/>
      <c r="AE37" s="352"/>
      <c r="AF37" s="335"/>
      <c r="AG37" s="335"/>
      <c r="AH37" s="352"/>
      <c r="AI37" s="335"/>
      <c r="AJ37" s="335"/>
      <c r="AK37" s="436"/>
      <c r="AL37" s="437"/>
      <c r="AM37" s="437"/>
      <c r="AN37" s="569"/>
      <c r="AO37" s="569"/>
      <c r="AP37" s="569"/>
      <c r="AQ37" s="420"/>
      <c r="AR37" s="68" t="s">
        <v>375</v>
      </c>
      <c r="AS37" s="436"/>
      <c r="AT37" s="30"/>
      <c r="AU37" s="134">
        <v>0.12</v>
      </c>
      <c r="AV37" s="123">
        <v>44958</v>
      </c>
      <c r="AW37" s="124">
        <v>45275</v>
      </c>
      <c r="AX37" s="29">
        <f t="shared" si="7"/>
        <v>317</v>
      </c>
      <c r="AY37" s="436"/>
      <c r="AZ37" s="436"/>
      <c r="BA37" s="371"/>
      <c r="BB37" s="361"/>
      <c r="BC37" s="331"/>
      <c r="BD37" s="371"/>
      <c r="BE37" s="361"/>
      <c r="BF37" s="331"/>
      <c r="BG37" s="371"/>
      <c r="BH37" s="361"/>
      <c r="BI37" s="331"/>
      <c r="BJ37" s="371"/>
      <c r="BK37" s="361"/>
      <c r="BL37" s="331"/>
      <c r="BM37" s="371"/>
      <c r="BN37" s="361"/>
      <c r="BO37" s="331"/>
      <c r="BP37" s="420"/>
      <c r="BQ37" s="420"/>
      <c r="BR37" s="420"/>
      <c r="BS37" s="62">
        <v>69065620</v>
      </c>
      <c r="BT37" s="48" t="s">
        <v>291</v>
      </c>
      <c r="BU37" s="420"/>
      <c r="BV37" s="420"/>
      <c r="BW37" s="461"/>
      <c r="BX37" s="461"/>
      <c r="BY37" s="462"/>
      <c r="BZ37" s="456"/>
      <c r="CA37" s="456"/>
      <c r="CB37" s="456"/>
      <c r="CC37" s="459"/>
      <c r="CD37" s="459"/>
      <c r="CE37" s="471"/>
      <c r="CF37" s="471"/>
      <c r="CG37" s="418"/>
      <c r="CH37" s="471"/>
      <c r="CI37" s="471"/>
      <c r="CJ37" s="418"/>
      <c r="CK37" s="471"/>
      <c r="CL37" s="471"/>
      <c r="CM37" s="418"/>
      <c r="CN37" s="446"/>
      <c r="CO37" s="446"/>
      <c r="CP37" s="390"/>
      <c r="CQ37" s="446"/>
      <c r="CR37" s="446"/>
      <c r="CS37" s="390"/>
      <c r="CT37" s="492"/>
      <c r="CU37" s="492"/>
      <c r="CV37" s="390"/>
      <c r="CW37" s="329"/>
      <c r="CX37" s="329"/>
      <c r="CY37" s="390"/>
      <c r="CZ37" s="464"/>
      <c r="DA37" s="464"/>
      <c r="DB37" s="464"/>
      <c r="DC37" s="390"/>
      <c r="DD37" s="390"/>
      <c r="DE37" s="329"/>
      <c r="DF37" s="329"/>
      <c r="DG37" s="390"/>
      <c r="DH37" s="329"/>
      <c r="DI37" s="329"/>
      <c r="DJ37" s="390"/>
      <c r="DK37" s="329"/>
      <c r="DL37" s="329"/>
      <c r="DM37" s="390"/>
      <c r="DN37" s="48" t="s">
        <v>208</v>
      </c>
      <c r="DO37" s="48" t="s">
        <v>209</v>
      </c>
      <c r="DP37" s="66" t="s">
        <v>210</v>
      </c>
      <c r="DQ37" s="48" t="s">
        <v>291</v>
      </c>
      <c r="DR37" s="71">
        <v>44927</v>
      </c>
      <c r="DS37" s="529"/>
      <c r="DT37" s="498"/>
      <c r="DU37" s="497" t="s">
        <v>376</v>
      </c>
      <c r="DV37" s="316"/>
      <c r="DW37" s="316"/>
      <c r="DX37" s="316"/>
      <c r="DY37" s="316"/>
      <c r="DZ37" s="316"/>
      <c r="EA37" s="316"/>
      <c r="EB37" s="316"/>
      <c r="EC37" s="316"/>
      <c r="ED37" s="316"/>
      <c r="EE37" s="492"/>
      <c r="EF37" s="492"/>
    </row>
    <row r="38" spans="1:142" ht="50.25" customHeight="1" x14ac:dyDescent="0.4">
      <c r="A38" s="633"/>
      <c r="B38" s="633"/>
      <c r="C38" s="633"/>
      <c r="D38" s="621"/>
      <c r="E38" s="376"/>
      <c r="F38" s="621"/>
      <c r="G38" s="376"/>
      <c r="H38" s="376"/>
      <c r="I38" s="376"/>
      <c r="J38" s="376"/>
      <c r="K38" s="568"/>
      <c r="L38" s="436"/>
      <c r="M38" s="436"/>
      <c r="N38" s="612"/>
      <c r="O38" s="610"/>
      <c r="P38" s="615"/>
      <c r="Q38" s="615"/>
      <c r="R38" s="615"/>
      <c r="S38" s="612"/>
      <c r="T38" s="612"/>
      <c r="U38" s="612"/>
      <c r="V38" s="352"/>
      <c r="W38" s="332"/>
      <c r="X38" s="332"/>
      <c r="Y38" s="352"/>
      <c r="Z38" s="335"/>
      <c r="AA38" s="335"/>
      <c r="AB38" s="352"/>
      <c r="AC38" s="335"/>
      <c r="AD38" s="335"/>
      <c r="AE38" s="352"/>
      <c r="AF38" s="335"/>
      <c r="AG38" s="335"/>
      <c r="AH38" s="352"/>
      <c r="AI38" s="335"/>
      <c r="AJ38" s="335"/>
      <c r="AK38" s="436"/>
      <c r="AL38" s="437"/>
      <c r="AM38" s="437"/>
      <c r="AN38" s="569"/>
      <c r="AO38" s="569"/>
      <c r="AP38" s="569"/>
      <c r="AQ38" s="420"/>
      <c r="AR38" s="68" t="s">
        <v>377</v>
      </c>
      <c r="AS38" s="436"/>
      <c r="AT38" s="30"/>
      <c r="AU38" s="134">
        <v>0.12</v>
      </c>
      <c r="AV38" s="123">
        <v>44958</v>
      </c>
      <c r="AW38" s="124">
        <v>45275</v>
      </c>
      <c r="AX38" s="29">
        <f t="shared" si="7"/>
        <v>317</v>
      </c>
      <c r="AY38" s="436"/>
      <c r="AZ38" s="436"/>
      <c r="BA38" s="371"/>
      <c r="BB38" s="361"/>
      <c r="BC38" s="331"/>
      <c r="BD38" s="371"/>
      <c r="BE38" s="361"/>
      <c r="BF38" s="331"/>
      <c r="BG38" s="371"/>
      <c r="BH38" s="361"/>
      <c r="BI38" s="331"/>
      <c r="BJ38" s="371"/>
      <c r="BK38" s="361"/>
      <c r="BL38" s="331"/>
      <c r="BM38" s="371"/>
      <c r="BN38" s="361"/>
      <c r="BO38" s="331"/>
      <c r="BP38" s="420"/>
      <c r="BQ38" s="420"/>
      <c r="BR38" s="420"/>
      <c r="BS38" s="62">
        <v>27865620</v>
      </c>
      <c r="BT38" s="48" t="s">
        <v>291</v>
      </c>
      <c r="BU38" s="420"/>
      <c r="BV38" s="420"/>
      <c r="BW38" s="461"/>
      <c r="BX38" s="461"/>
      <c r="BY38" s="462"/>
      <c r="BZ38" s="456"/>
      <c r="CA38" s="456"/>
      <c r="CB38" s="456"/>
      <c r="CC38" s="459"/>
      <c r="CD38" s="459"/>
      <c r="CE38" s="471"/>
      <c r="CF38" s="471"/>
      <c r="CG38" s="418"/>
      <c r="CH38" s="471"/>
      <c r="CI38" s="471"/>
      <c r="CJ38" s="418"/>
      <c r="CK38" s="471"/>
      <c r="CL38" s="471"/>
      <c r="CM38" s="418"/>
      <c r="CN38" s="446"/>
      <c r="CO38" s="446"/>
      <c r="CP38" s="390"/>
      <c r="CQ38" s="446"/>
      <c r="CR38" s="446"/>
      <c r="CS38" s="390"/>
      <c r="CT38" s="492"/>
      <c r="CU38" s="492"/>
      <c r="CV38" s="390"/>
      <c r="CW38" s="329"/>
      <c r="CX38" s="329"/>
      <c r="CY38" s="390"/>
      <c r="CZ38" s="464"/>
      <c r="DA38" s="464"/>
      <c r="DB38" s="464"/>
      <c r="DC38" s="390"/>
      <c r="DD38" s="390"/>
      <c r="DE38" s="329"/>
      <c r="DF38" s="329"/>
      <c r="DG38" s="390"/>
      <c r="DH38" s="329"/>
      <c r="DI38" s="329"/>
      <c r="DJ38" s="390"/>
      <c r="DK38" s="329"/>
      <c r="DL38" s="329"/>
      <c r="DM38" s="390"/>
      <c r="DN38" s="48" t="s">
        <v>208</v>
      </c>
      <c r="DO38" s="48" t="s">
        <v>209</v>
      </c>
      <c r="DP38" s="66" t="s">
        <v>210</v>
      </c>
      <c r="DQ38" s="48" t="s">
        <v>291</v>
      </c>
      <c r="DR38" s="71">
        <v>44927</v>
      </c>
      <c r="DS38" s="529"/>
      <c r="DT38" s="498"/>
      <c r="DU38" s="498"/>
      <c r="DV38" s="316"/>
      <c r="DW38" s="316"/>
      <c r="DX38" s="316"/>
      <c r="DY38" s="316"/>
      <c r="DZ38" s="316"/>
      <c r="EA38" s="316"/>
      <c r="EB38" s="316"/>
      <c r="EC38" s="316"/>
      <c r="ED38" s="316"/>
      <c r="EE38" s="492"/>
      <c r="EF38" s="492"/>
    </row>
    <row r="39" spans="1:142" ht="50.25" customHeight="1" x14ac:dyDescent="0.4">
      <c r="A39" s="633"/>
      <c r="B39" s="633"/>
      <c r="C39" s="633"/>
      <c r="D39" s="621"/>
      <c r="E39" s="376"/>
      <c r="F39" s="621"/>
      <c r="G39" s="376"/>
      <c r="H39" s="376"/>
      <c r="I39" s="376"/>
      <c r="J39" s="376"/>
      <c r="K39" s="568"/>
      <c r="L39" s="436"/>
      <c r="M39" s="436"/>
      <c r="N39" s="612"/>
      <c r="O39" s="610"/>
      <c r="P39" s="615"/>
      <c r="Q39" s="615"/>
      <c r="R39" s="615"/>
      <c r="S39" s="612"/>
      <c r="T39" s="612"/>
      <c r="U39" s="612"/>
      <c r="V39" s="352"/>
      <c r="W39" s="332"/>
      <c r="X39" s="332"/>
      <c r="Y39" s="352"/>
      <c r="Z39" s="433"/>
      <c r="AA39" s="433"/>
      <c r="AB39" s="352"/>
      <c r="AC39" s="433"/>
      <c r="AD39" s="433"/>
      <c r="AE39" s="352"/>
      <c r="AF39" s="433"/>
      <c r="AG39" s="433"/>
      <c r="AH39" s="352"/>
      <c r="AI39" s="335"/>
      <c r="AJ39" s="336"/>
      <c r="AK39" s="436"/>
      <c r="AL39" s="437"/>
      <c r="AM39" s="437"/>
      <c r="AN39" s="569"/>
      <c r="AO39" s="569"/>
      <c r="AP39" s="569"/>
      <c r="AQ39" s="420"/>
      <c r="AR39" s="68" t="s">
        <v>378</v>
      </c>
      <c r="AS39" s="436"/>
      <c r="AT39" s="30"/>
      <c r="AU39" s="134">
        <v>0.12</v>
      </c>
      <c r="AV39" s="123">
        <v>44958</v>
      </c>
      <c r="AW39" s="124">
        <v>45275</v>
      </c>
      <c r="AX39" s="29">
        <f t="shared" si="7"/>
        <v>317</v>
      </c>
      <c r="AY39" s="436"/>
      <c r="AZ39" s="436"/>
      <c r="BA39" s="371"/>
      <c r="BB39" s="361"/>
      <c r="BC39" s="331"/>
      <c r="BD39" s="371"/>
      <c r="BE39" s="361"/>
      <c r="BF39" s="331"/>
      <c r="BG39" s="371"/>
      <c r="BH39" s="361"/>
      <c r="BI39" s="331"/>
      <c r="BJ39" s="371"/>
      <c r="BK39" s="361"/>
      <c r="BL39" s="331"/>
      <c r="BM39" s="371"/>
      <c r="BN39" s="361"/>
      <c r="BO39" s="331"/>
      <c r="BP39" s="420"/>
      <c r="BQ39" s="420"/>
      <c r="BR39" s="420"/>
      <c r="BS39" s="62">
        <v>27865620</v>
      </c>
      <c r="BT39" s="48" t="s">
        <v>291</v>
      </c>
      <c r="BU39" s="420"/>
      <c r="BV39" s="420"/>
      <c r="BW39" s="461"/>
      <c r="BX39" s="461"/>
      <c r="BY39" s="462"/>
      <c r="BZ39" s="456"/>
      <c r="CA39" s="456"/>
      <c r="CB39" s="456"/>
      <c r="CC39" s="459"/>
      <c r="CD39" s="459"/>
      <c r="CE39" s="471"/>
      <c r="CF39" s="471"/>
      <c r="CG39" s="418"/>
      <c r="CH39" s="471"/>
      <c r="CI39" s="471"/>
      <c r="CJ39" s="418"/>
      <c r="CK39" s="471"/>
      <c r="CL39" s="471"/>
      <c r="CM39" s="418"/>
      <c r="CN39" s="446"/>
      <c r="CO39" s="446"/>
      <c r="CP39" s="390"/>
      <c r="CQ39" s="446"/>
      <c r="CR39" s="446"/>
      <c r="CS39" s="390"/>
      <c r="CT39" s="492"/>
      <c r="CU39" s="492"/>
      <c r="CV39" s="390"/>
      <c r="CW39" s="329"/>
      <c r="CX39" s="329"/>
      <c r="CY39" s="390"/>
      <c r="CZ39" s="464"/>
      <c r="DA39" s="464"/>
      <c r="DB39" s="464"/>
      <c r="DC39" s="390"/>
      <c r="DD39" s="390"/>
      <c r="DE39" s="329"/>
      <c r="DF39" s="329"/>
      <c r="DG39" s="390"/>
      <c r="DH39" s="329"/>
      <c r="DI39" s="329"/>
      <c r="DJ39" s="390"/>
      <c r="DK39" s="329"/>
      <c r="DL39" s="329"/>
      <c r="DM39" s="390"/>
      <c r="DN39" s="48" t="s">
        <v>208</v>
      </c>
      <c r="DO39" s="48" t="s">
        <v>209</v>
      </c>
      <c r="DP39" s="66" t="s">
        <v>210</v>
      </c>
      <c r="DQ39" s="48" t="s">
        <v>291</v>
      </c>
      <c r="DR39" s="71">
        <v>44927</v>
      </c>
      <c r="DS39" s="529"/>
      <c r="DT39" s="498"/>
      <c r="DU39" s="498"/>
      <c r="DV39" s="316"/>
      <c r="DW39" s="316"/>
      <c r="DX39" s="316"/>
      <c r="DY39" s="316"/>
      <c r="DZ39" s="316"/>
      <c r="EA39" s="316"/>
      <c r="EB39" s="316"/>
      <c r="EC39" s="316"/>
      <c r="ED39" s="316"/>
      <c r="EE39" s="492"/>
      <c r="EF39" s="492"/>
    </row>
    <row r="40" spans="1:142" ht="50.25" customHeight="1" x14ac:dyDescent="0.4">
      <c r="A40" s="633"/>
      <c r="B40" s="633"/>
      <c r="C40" s="633"/>
      <c r="D40" s="621"/>
      <c r="E40" s="376"/>
      <c r="F40" s="621"/>
      <c r="G40" s="376"/>
      <c r="H40" s="376"/>
      <c r="I40" s="376"/>
      <c r="J40" s="376"/>
      <c r="K40" s="568"/>
      <c r="L40" s="436"/>
      <c r="M40" s="436"/>
      <c r="N40" s="612"/>
      <c r="O40" s="610"/>
      <c r="P40" s="615"/>
      <c r="Q40" s="615"/>
      <c r="R40" s="615"/>
      <c r="S40" s="612"/>
      <c r="T40" s="612"/>
      <c r="U40" s="612"/>
      <c r="V40" s="352"/>
      <c r="W40" s="332"/>
      <c r="X40" s="332"/>
      <c r="Y40" s="352"/>
      <c r="Z40" s="433"/>
      <c r="AA40" s="433"/>
      <c r="AB40" s="352"/>
      <c r="AC40" s="433"/>
      <c r="AD40" s="433"/>
      <c r="AE40" s="352"/>
      <c r="AF40" s="433"/>
      <c r="AG40" s="433"/>
      <c r="AH40" s="352"/>
      <c r="AI40" s="335"/>
      <c r="AJ40" s="336"/>
      <c r="AK40" s="436"/>
      <c r="AL40" s="437"/>
      <c r="AM40" s="437"/>
      <c r="AN40" s="569"/>
      <c r="AO40" s="569"/>
      <c r="AP40" s="569"/>
      <c r="AQ40" s="420"/>
      <c r="AR40" s="68" t="s">
        <v>379</v>
      </c>
      <c r="AS40" s="436"/>
      <c r="AT40" s="30"/>
      <c r="AU40" s="134">
        <v>0.12</v>
      </c>
      <c r="AV40" s="123">
        <v>44958</v>
      </c>
      <c r="AW40" s="124">
        <v>45275</v>
      </c>
      <c r="AX40" s="29">
        <f t="shared" si="7"/>
        <v>317</v>
      </c>
      <c r="AY40" s="436"/>
      <c r="AZ40" s="436"/>
      <c r="BA40" s="371"/>
      <c r="BB40" s="361"/>
      <c r="BC40" s="331"/>
      <c r="BD40" s="371"/>
      <c r="BE40" s="361"/>
      <c r="BF40" s="331"/>
      <c r="BG40" s="371"/>
      <c r="BH40" s="361"/>
      <c r="BI40" s="331"/>
      <c r="BJ40" s="371"/>
      <c r="BK40" s="361"/>
      <c r="BL40" s="331"/>
      <c r="BM40" s="371"/>
      <c r="BN40" s="361"/>
      <c r="BO40" s="331"/>
      <c r="BP40" s="420"/>
      <c r="BQ40" s="420"/>
      <c r="BR40" s="420"/>
      <c r="BS40" s="62">
        <v>27865620</v>
      </c>
      <c r="BT40" s="48" t="s">
        <v>291</v>
      </c>
      <c r="BU40" s="420"/>
      <c r="BV40" s="420"/>
      <c r="BW40" s="461"/>
      <c r="BX40" s="461"/>
      <c r="BY40" s="462"/>
      <c r="BZ40" s="456"/>
      <c r="CA40" s="456"/>
      <c r="CB40" s="456"/>
      <c r="CC40" s="459"/>
      <c r="CD40" s="459"/>
      <c r="CE40" s="471"/>
      <c r="CF40" s="471"/>
      <c r="CG40" s="418"/>
      <c r="CH40" s="471"/>
      <c r="CI40" s="471"/>
      <c r="CJ40" s="418"/>
      <c r="CK40" s="471"/>
      <c r="CL40" s="471"/>
      <c r="CM40" s="418"/>
      <c r="CN40" s="446"/>
      <c r="CO40" s="446"/>
      <c r="CP40" s="390"/>
      <c r="CQ40" s="446"/>
      <c r="CR40" s="446"/>
      <c r="CS40" s="390"/>
      <c r="CT40" s="492"/>
      <c r="CU40" s="492"/>
      <c r="CV40" s="390"/>
      <c r="CW40" s="329"/>
      <c r="CX40" s="329"/>
      <c r="CY40" s="390"/>
      <c r="CZ40" s="464"/>
      <c r="DA40" s="464"/>
      <c r="DB40" s="464"/>
      <c r="DC40" s="390"/>
      <c r="DD40" s="390"/>
      <c r="DE40" s="329"/>
      <c r="DF40" s="329"/>
      <c r="DG40" s="390"/>
      <c r="DH40" s="329"/>
      <c r="DI40" s="329"/>
      <c r="DJ40" s="390"/>
      <c r="DK40" s="329"/>
      <c r="DL40" s="329"/>
      <c r="DM40" s="390"/>
      <c r="DN40" s="48" t="s">
        <v>208</v>
      </c>
      <c r="DO40" s="48" t="s">
        <v>209</v>
      </c>
      <c r="DP40" s="66" t="s">
        <v>210</v>
      </c>
      <c r="DQ40" s="48" t="s">
        <v>291</v>
      </c>
      <c r="DR40" s="71">
        <v>44927</v>
      </c>
      <c r="DS40" s="529"/>
      <c r="DT40" s="498"/>
      <c r="DU40" s="498"/>
      <c r="DV40" s="316"/>
      <c r="DW40" s="316"/>
      <c r="DX40" s="316"/>
      <c r="DY40" s="316"/>
      <c r="DZ40" s="316"/>
      <c r="EA40" s="316"/>
      <c r="EB40" s="316"/>
      <c r="EC40" s="316"/>
      <c r="ED40" s="316"/>
      <c r="EE40" s="492"/>
      <c r="EF40" s="492"/>
    </row>
    <row r="41" spans="1:142" ht="50.25" customHeight="1" x14ac:dyDescent="0.4">
      <c r="A41" s="633"/>
      <c r="B41" s="633"/>
      <c r="C41" s="633"/>
      <c r="D41" s="621"/>
      <c r="E41" s="376"/>
      <c r="F41" s="621"/>
      <c r="G41" s="376"/>
      <c r="H41" s="376"/>
      <c r="I41" s="376"/>
      <c r="J41" s="376"/>
      <c r="K41" s="568"/>
      <c r="L41" s="436"/>
      <c r="M41" s="436"/>
      <c r="N41" s="612"/>
      <c r="O41" s="610"/>
      <c r="P41" s="615"/>
      <c r="Q41" s="615"/>
      <c r="R41" s="615"/>
      <c r="S41" s="612"/>
      <c r="T41" s="612"/>
      <c r="U41" s="612"/>
      <c r="V41" s="352"/>
      <c r="W41" s="332"/>
      <c r="X41" s="332"/>
      <c r="Y41" s="352"/>
      <c r="Z41" s="433"/>
      <c r="AA41" s="433"/>
      <c r="AB41" s="352"/>
      <c r="AC41" s="433"/>
      <c r="AD41" s="433"/>
      <c r="AE41" s="352"/>
      <c r="AF41" s="433"/>
      <c r="AG41" s="433"/>
      <c r="AH41" s="352"/>
      <c r="AI41" s="335"/>
      <c r="AJ41" s="336"/>
      <c r="AK41" s="436"/>
      <c r="AL41" s="437"/>
      <c r="AM41" s="437"/>
      <c r="AN41" s="569"/>
      <c r="AO41" s="569"/>
      <c r="AP41" s="569"/>
      <c r="AQ41" s="420"/>
      <c r="AR41" s="68" t="s">
        <v>380</v>
      </c>
      <c r="AS41" s="436"/>
      <c r="AT41" s="30"/>
      <c r="AU41" s="134">
        <v>0.12</v>
      </c>
      <c r="AV41" s="123">
        <v>44958</v>
      </c>
      <c r="AW41" s="124">
        <v>45275</v>
      </c>
      <c r="AX41" s="29">
        <f t="shared" si="7"/>
        <v>317</v>
      </c>
      <c r="AY41" s="436"/>
      <c r="AZ41" s="436"/>
      <c r="BA41" s="371"/>
      <c r="BB41" s="361"/>
      <c r="BC41" s="331"/>
      <c r="BD41" s="371"/>
      <c r="BE41" s="361"/>
      <c r="BF41" s="331"/>
      <c r="BG41" s="371"/>
      <c r="BH41" s="361"/>
      <c r="BI41" s="331"/>
      <c r="BJ41" s="371"/>
      <c r="BK41" s="361"/>
      <c r="BL41" s="331"/>
      <c r="BM41" s="371"/>
      <c r="BN41" s="361"/>
      <c r="BO41" s="331"/>
      <c r="BP41" s="420"/>
      <c r="BQ41" s="420"/>
      <c r="BR41" s="420"/>
      <c r="BS41" s="62">
        <v>27865620</v>
      </c>
      <c r="BT41" s="48" t="s">
        <v>291</v>
      </c>
      <c r="BU41" s="420"/>
      <c r="BV41" s="420"/>
      <c r="BW41" s="461"/>
      <c r="BX41" s="461"/>
      <c r="BY41" s="462"/>
      <c r="BZ41" s="456"/>
      <c r="CA41" s="456"/>
      <c r="CB41" s="456"/>
      <c r="CC41" s="459"/>
      <c r="CD41" s="459"/>
      <c r="CE41" s="471"/>
      <c r="CF41" s="471"/>
      <c r="CG41" s="418"/>
      <c r="CH41" s="471"/>
      <c r="CI41" s="471"/>
      <c r="CJ41" s="418"/>
      <c r="CK41" s="471"/>
      <c r="CL41" s="471"/>
      <c r="CM41" s="418"/>
      <c r="CN41" s="446"/>
      <c r="CO41" s="446"/>
      <c r="CP41" s="390"/>
      <c r="CQ41" s="446"/>
      <c r="CR41" s="446"/>
      <c r="CS41" s="390"/>
      <c r="CT41" s="492"/>
      <c r="CU41" s="492"/>
      <c r="CV41" s="390"/>
      <c r="CW41" s="329"/>
      <c r="CX41" s="329"/>
      <c r="CY41" s="390"/>
      <c r="CZ41" s="464"/>
      <c r="DA41" s="464"/>
      <c r="DB41" s="464"/>
      <c r="DC41" s="390"/>
      <c r="DD41" s="390"/>
      <c r="DE41" s="329"/>
      <c r="DF41" s="329"/>
      <c r="DG41" s="390"/>
      <c r="DH41" s="329"/>
      <c r="DI41" s="329"/>
      <c r="DJ41" s="390"/>
      <c r="DK41" s="329"/>
      <c r="DL41" s="329"/>
      <c r="DM41" s="390"/>
      <c r="DN41" s="48" t="s">
        <v>208</v>
      </c>
      <c r="DO41" s="48" t="s">
        <v>209</v>
      </c>
      <c r="DP41" s="66" t="s">
        <v>210</v>
      </c>
      <c r="DQ41" s="48" t="s">
        <v>291</v>
      </c>
      <c r="DR41" s="71">
        <v>44927</v>
      </c>
      <c r="DS41" s="529"/>
      <c r="DT41" s="498"/>
      <c r="DU41" s="498"/>
      <c r="DV41" s="316"/>
      <c r="DW41" s="316"/>
      <c r="DX41" s="316"/>
      <c r="DY41" s="316"/>
      <c r="DZ41" s="316"/>
      <c r="EA41" s="316"/>
      <c r="EB41" s="316"/>
      <c r="EC41" s="316"/>
      <c r="ED41" s="316"/>
      <c r="EE41" s="492"/>
      <c r="EF41" s="492"/>
    </row>
    <row r="42" spans="1:142" ht="408.75" customHeight="1" x14ac:dyDescent="0.4">
      <c r="A42" s="633"/>
      <c r="B42" s="633"/>
      <c r="C42" s="633"/>
      <c r="D42" s="621"/>
      <c r="E42" s="376"/>
      <c r="F42" s="621"/>
      <c r="G42" s="376"/>
      <c r="H42" s="376"/>
      <c r="I42" s="376"/>
      <c r="J42" s="376"/>
      <c r="K42" s="568"/>
      <c r="L42" s="436"/>
      <c r="M42" s="436"/>
      <c r="N42" s="612"/>
      <c r="O42" s="610"/>
      <c r="P42" s="615"/>
      <c r="Q42" s="615"/>
      <c r="R42" s="615"/>
      <c r="S42" s="612"/>
      <c r="T42" s="612"/>
      <c r="U42" s="612"/>
      <c r="V42" s="352"/>
      <c r="W42" s="332"/>
      <c r="X42" s="332"/>
      <c r="Y42" s="352"/>
      <c r="Z42" s="434"/>
      <c r="AA42" s="434"/>
      <c r="AB42" s="352"/>
      <c r="AC42" s="434"/>
      <c r="AD42" s="434"/>
      <c r="AE42" s="352"/>
      <c r="AF42" s="434"/>
      <c r="AG42" s="434"/>
      <c r="AH42" s="352"/>
      <c r="AI42" s="359"/>
      <c r="AJ42" s="337"/>
      <c r="AK42" s="436"/>
      <c r="AL42" s="437"/>
      <c r="AM42" s="437"/>
      <c r="AN42" s="569"/>
      <c r="AO42" s="569"/>
      <c r="AP42" s="569"/>
      <c r="AQ42" s="420"/>
      <c r="AR42" s="68" t="s">
        <v>381</v>
      </c>
      <c r="AS42" s="436"/>
      <c r="AT42" s="30"/>
      <c r="AU42" s="134">
        <v>0.12</v>
      </c>
      <c r="AV42" s="123">
        <v>44958</v>
      </c>
      <c r="AW42" s="124">
        <v>45275</v>
      </c>
      <c r="AX42" s="29">
        <f t="shared" si="7"/>
        <v>317</v>
      </c>
      <c r="AY42" s="436"/>
      <c r="AZ42" s="436"/>
      <c r="BA42" s="372"/>
      <c r="BB42" s="362"/>
      <c r="BC42" s="331"/>
      <c r="BD42" s="372"/>
      <c r="BE42" s="362"/>
      <c r="BF42" s="331"/>
      <c r="BG42" s="372"/>
      <c r="BH42" s="362"/>
      <c r="BI42" s="331"/>
      <c r="BJ42" s="372"/>
      <c r="BK42" s="362"/>
      <c r="BL42" s="331"/>
      <c r="BM42" s="372"/>
      <c r="BN42" s="362"/>
      <c r="BO42" s="331"/>
      <c r="BP42" s="420"/>
      <c r="BQ42" s="420"/>
      <c r="BR42" s="420"/>
      <c r="BS42" s="62">
        <v>235810260</v>
      </c>
      <c r="BT42" s="48" t="s">
        <v>291</v>
      </c>
      <c r="BU42" s="420"/>
      <c r="BV42" s="420"/>
      <c r="BW42" s="461"/>
      <c r="BX42" s="461"/>
      <c r="BY42" s="462"/>
      <c r="BZ42" s="456"/>
      <c r="CA42" s="456"/>
      <c r="CB42" s="456"/>
      <c r="CC42" s="459"/>
      <c r="CD42" s="459"/>
      <c r="CE42" s="471"/>
      <c r="CF42" s="471"/>
      <c r="CG42" s="418"/>
      <c r="CH42" s="471"/>
      <c r="CI42" s="471"/>
      <c r="CJ42" s="418"/>
      <c r="CK42" s="471"/>
      <c r="CL42" s="471"/>
      <c r="CM42" s="418"/>
      <c r="CN42" s="446"/>
      <c r="CO42" s="446"/>
      <c r="CP42" s="390"/>
      <c r="CQ42" s="446"/>
      <c r="CR42" s="446"/>
      <c r="CS42" s="390"/>
      <c r="CT42" s="492"/>
      <c r="CU42" s="492"/>
      <c r="CV42" s="390"/>
      <c r="CW42" s="329"/>
      <c r="CX42" s="329"/>
      <c r="CY42" s="390"/>
      <c r="CZ42" s="464"/>
      <c r="DA42" s="464"/>
      <c r="DB42" s="464"/>
      <c r="DC42" s="390"/>
      <c r="DD42" s="390"/>
      <c r="DE42" s="329"/>
      <c r="DF42" s="329"/>
      <c r="DG42" s="390"/>
      <c r="DH42" s="329"/>
      <c r="DI42" s="329"/>
      <c r="DJ42" s="390"/>
      <c r="DK42" s="329"/>
      <c r="DL42" s="329"/>
      <c r="DM42" s="390"/>
      <c r="DN42" s="48" t="s">
        <v>208</v>
      </c>
      <c r="DO42" s="48" t="s">
        <v>209</v>
      </c>
      <c r="DP42" s="66" t="s">
        <v>210</v>
      </c>
      <c r="DQ42" s="48" t="s">
        <v>291</v>
      </c>
      <c r="DR42" s="71">
        <v>44927</v>
      </c>
      <c r="DS42" s="529"/>
      <c r="DT42" s="498"/>
      <c r="DU42" s="499"/>
      <c r="DV42" s="317"/>
      <c r="DW42" s="317"/>
      <c r="DX42" s="317"/>
      <c r="DY42" s="317"/>
      <c r="DZ42" s="317"/>
      <c r="EA42" s="317"/>
      <c r="EB42" s="317"/>
      <c r="EC42" s="317"/>
      <c r="ED42" s="317"/>
      <c r="EE42" s="492"/>
      <c r="EF42" s="492"/>
    </row>
    <row r="43" spans="1:142" ht="50.25" customHeight="1" x14ac:dyDescent="0.4">
      <c r="A43" s="633"/>
      <c r="B43" s="633"/>
      <c r="C43" s="633"/>
      <c r="D43" s="621"/>
      <c r="E43" s="376"/>
      <c r="F43" s="621"/>
      <c r="G43" s="376"/>
      <c r="H43" s="376"/>
      <c r="I43" s="376"/>
      <c r="J43" s="376"/>
      <c r="K43" s="568"/>
      <c r="L43" s="610" t="s">
        <v>382</v>
      </c>
      <c r="M43" s="610" t="s">
        <v>189</v>
      </c>
      <c r="N43" s="626">
        <v>12</v>
      </c>
      <c r="O43" s="610" t="s">
        <v>383</v>
      </c>
      <c r="P43" s="615"/>
      <c r="Q43" s="615" t="s">
        <v>193</v>
      </c>
      <c r="R43" s="615" t="s">
        <v>232</v>
      </c>
      <c r="S43" s="612">
        <v>15</v>
      </c>
      <c r="T43" s="612">
        <v>6</v>
      </c>
      <c r="U43" s="623">
        <v>18</v>
      </c>
      <c r="V43" s="353">
        <v>0</v>
      </c>
      <c r="W43" s="332">
        <f>V43/T43</f>
        <v>0</v>
      </c>
      <c r="X43" s="332">
        <f>(V43+U43)/S43</f>
        <v>1.2</v>
      </c>
      <c r="Y43" s="353">
        <v>0</v>
      </c>
      <c r="Z43" s="332">
        <f>Y43/S43</f>
        <v>0</v>
      </c>
      <c r="AA43" s="332">
        <f>(Y43+U43)/S43</f>
        <v>1.2</v>
      </c>
      <c r="AB43" s="353">
        <v>0</v>
      </c>
      <c r="AC43" s="332">
        <f>AB43/T43</f>
        <v>0</v>
      </c>
      <c r="AD43" s="331">
        <f>(AC43+U43)/S43</f>
        <v>1.2</v>
      </c>
      <c r="AE43" s="353">
        <v>5</v>
      </c>
      <c r="AF43" s="332">
        <f>AE43/T43</f>
        <v>0.83333333333333337</v>
      </c>
      <c r="AG43" s="331">
        <v>1</v>
      </c>
      <c r="AH43" s="353">
        <f>5+1</f>
        <v>6</v>
      </c>
      <c r="AI43" s="332">
        <f>AH43/T43</f>
        <v>1</v>
      </c>
      <c r="AJ43" s="331">
        <v>1</v>
      </c>
      <c r="AK43" s="436" t="s">
        <v>195</v>
      </c>
      <c r="AL43" s="437" t="s">
        <v>196</v>
      </c>
      <c r="AM43" s="437"/>
      <c r="AN43" s="569"/>
      <c r="AO43" s="569"/>
      <c r="AP43" s="569"/>
      <c r="AQ43" s="420"/>
      <c r="AR43" s="630" t="s">
        <v>384</v>
      </c>
      <c r="AS43" s="436"/>
      <c r="AT43" s="31"/>
      <c r="AU43" s="570">
        <v>0.09</v>
      </c>
      <c r="AV43" s="123">
        <v>44958</v>
      </c>
      <c r="AW43" s="124">
        <v>45275</v>
      </c>
      <c r="AX43" s="29">
        <f t="shared" si="7"/>
        <v>317</v>
      </c>
      <c r="AY43" s="436"/>
      <c r="AZ43" s="436"/>
      <c r="BA43" s="373">
        <v>0</v>
      </c>
      <c r="BB43" s="360">
        <f>BA43/T43</f>
        <v>0</v>
      </c>
      <c r="BC43" s="331"/>
      <c r="BD43" s="373">
        <v>0</v>
      </c>
      <c r="BE43" s="360">
        <f>BD43/T43</f>
        <v>0</v>
      </c>
      <c r="BF43" s="331"/>
      <c r="BG43" s="373">
        <v>0</v>
      </c>
      <c r="BH43" s="360">
        <f>BG43/T43</f>
        <v>0</v>
      </c>
      <c r="BI43" s="331"/>
      <c r="BJ43" s="373">
        <v>5</v>
      </c>
      <c r="BK43" s="360">
        <f>BJ43/T43</f>
        <v>0.83333333333333337</v>
      </c>
      <c r="BL43" s="331"/>
      <c r="BM43" s="373">
        <f>5+1</f>
        <v>6</v>
      </c>
      <c r="BN43" s="360">
        <f>BM43/T43</f>
        <v>1</v>
      </c>
      <c r="BO43" s="331"/>
      <c r="BP43" s="420"/>
      <c r="BQ43" s="420"/>
      <c r="BR43" s="420"/>
      <c r="BS43" s="62">
        <v>13996588.53900218</v>
      </c>
      <c r="BT43" s="48" t="s">
        <v>291</v>
      </c>
      <c r="BU43" s="420"/>
      <c r="BV43" s="420"/>
      <c r="BW43" s="461"/>
      <c r="BX43" s="461"/>
      <c r="BY43" s="462"/>
      <c r="BZ43" s="456"/>
      <c r="CA43" s="456"/>
      <c r="CB43" s="456"/>
      <c r="CC43" s="459"/>
      <c r="CD43" s="459"/>
      <c r="CE43" s="471"/>
      <c r="CF43" s="471"/>
      <c r="CG43" s="418"/>
      <c r="CH43" s="471"/>
      <c r="CI43" s="471"/>
      <c r="CJ43" s="418"/>
      <c r="CK43" s="471"/>
      <c r="CL43" s="471"/>
      <c r="CM43" s="418"/>
      <c r="CN43" s="446"/>
      <c r="CO43" s="446"/>
      <c r="CP43" s="390"/>
      <c r="CQ43" s="446"/>
      <c r="CR43" s="446"/>
      <c r="CS43" s="390"/>
      <c r="CT43" s="492"/>
      <c r="CU43" s="492"/>
      <c r="CV43" s="390"/>
      <c r="CW43" s="329"/>
      <c r="CX43" s="329"/>
      <c r="CY43" s="390"/>
      <c r="CZ43" s="464"/>
      <c r="DA43" s="464"/>
      <c r="DB43" s="464"/>
      <c r="DC43" s="390"/>
      <c r="DD43" s="390"/>
      <c r="DE43" s="329"/>
      <c r="DF43" s="329"/>
      <c r="DG43" s="390"/>
      <c r="DH43" s="329"/>
      <c r="DI43" s="329"/>
      <c r="DJ43" s="390"/>
      <c r="DK43" s="329"/>
      <c r="DL43" s="329"/>
      <c r="DM43" s="390"/>
      <c r="DN43" s="48" t="s">
        <v>208</v>
      </c>
      <c r="DO43" s="527" t="s">
        <v>385</v>
      </c>
      <c r="DP43" s="494" t="s">
        <v>279</v>
      </c>
      <c r="DQ43" s="494" t="s">
        <v>241</v>
      </c>
      <c r="DR43" s="514">
        <v>44958</v>
      </c>
      <c r="DS43" s="529"/>
      <c r="DT43" s="498"/>
      <c r="DU43" s="315" t="s">
        <v>386</v>
      </c>
      <c r="DV43" s="315" t="s">
        <v>387</v>
      </c>
      <c r="DW43" s="315" t="s">
        <v>388</v>
      </c>
      <c r="DX43" s="315" t="s">
        <v>389</v>
      </c>
      <c r="DY43" s="315" t="s">
        <v>390</v>
      </c>
      <c r="DZ43" s="315" t="s">
        <v>391</v>
      </c>
      <c r="EA43" s="318" t="s">
        <v>392</v>
      </c>
      <c r="EB43" s="318" t="s">
        <v>393</v>
      </c>
      <c r="EC43" s="318" t="s">
        <v>741</v>
      </c>
      <c r="ED43" s="318" t="s">
        <v>780</v>
      </c>
      <c r="EE43" s="492"/>
      <c r="EF43" s="492"/>
    </row>
    <row r="44" spans="1:142" ht="50.25" customHeight="1" x14ac:dyDescent="0.4">
      <c r="A44" s="633"/>
      <c r="B44" s="633"/>
      <c r="C44" s="633"/>
      <c r="D44" s="621"/>
      <c r="E44" s="376"/>
      <c r="F44" s="621"/>
      <c r="G44" s="376"/>
      <c r="H44" s="376"/>
      <c r="I44" s="376"/>
      <c r="J44" s="376"/>
      <c r="K44" s="568"/>
      <c r="L44" s="610"/>
      <c r="M44" s="610"/>
      <c r="N44" s="626"/>
      <c r="O44" s="610"/>
      <c r="P44" s="615"/>
      <c r="Q44" s="615"/>
      <c r="R44" s="615"/>
      <c r="S44" s="612"/>
      <c r="T44" s="612"/>
      <c r="U44" s="623"/>
      <c r="V44" s="353"/>
      <c r="W44" s="332"/>
      <c r="X44" s="332"/>
      <c r="Y44" s="353"/>
      <c r="Z44" s="332"/>
      <c r="AA44" s="332"/>
      <c r="AB44" s="353"/>
      <c r="AC44" s="332"/>
      <c r="AD44" s="331"/>
      <c r="AE44" s="353"/>
      <c r="AF44" s="332"/>
      <c r="AG44" s="331"/>
      <c r="AH44" s="353"/>
      <c r="AI44" s="332"/>
      <c r="AJ44" s="331"/>
      <c r="AK44" s="436"/>
      <c r="AL44" s="437"/>
      <c r="AM44" s="437"/>
      <c r="AN44" s="569"/>
      <c r="AO44" s="569"/>
      <c r="AP44" s="569"/>
      <c r="AQ44" s="420"/>
      <c r="AR44" s="630"/>
      <c r="AS44" s="436"/>
      <c r="AT44" s="31"/>
      <c r="AU44" s="570"/>
      <c r="AV44" s="123">
        <v>44958</v>
      </c>
      <c r="AW44" s="124">
        <v>45275</v>
      </c>
      <c r="AX44" s="29">
        <f t="shared" si="7"/>
        <v>317</v>
      </c>
      <c r="AY44" s="436"/>
      <c r="AZ44" s="436"/>
      <c r="BA44" s="374"/>
      <c r="BB44" s="361"/>
      <c r="BC44" s="331"/>
      <c r="BD44" s="374"/>
      <c r="BE44" s="361"/>
      <c r="BF44" s="331"/>
      <c r="BG44" s="374"/>
      <c r="BH44" s="361"/>
      <c r="BI44" s="331"/>
      <c r="BJ44" s="374"/>
      <c r="BK44" s="361"/>
      <c r="BL44" s="331"/>
      <c r="BM44" s="374"/>
      <c r="BN44" s="361"/>
      <c r="BO44" s="331"/>
      <c r="BP44" s="420"/>
      <c r="BQ44" s="420"/>
      <c r="BR44" s="420"/>
      <c r="BS44" s="62">
        <v>857478778</v>
      </c>
      <c r="BT44" s="48" t="s">
        <v>205</v>
      </c>
      <c r="BU44" s="420"/>
      <c r="BV44" s="420"/>
      <c r="BW44" s="461"/>
      <c r="BX44" s="461"/>
      <c r="BY44" s="462"/>
      <c r="BZ44" s="456"/>
      <c r="CA44" s="456"/>
      <c r="CB44" s="456"/>
      <c r="CC44" s="459"/>
      <c r="CD44" s="459"/>
      <c r="CE44" s="471"/>
      <c r="CF44" s="471"/>
      <c r="CG44" s="418"/>
      <c r="CH44" s="471"/>
      <c r="CI44" s="471"/>
      <c r="CJ44" s="418"/>
      <c r="CK44" s="471"/>
      <c r="CL44" s="471"/>
      <c r="CM44" s="418"/>
      <c r="CN44" s="446"/>
      <c r="CO44" s="446"/>
      <c r="CP44" s="390"/>
      <c r="CQ44" s="446"/>
      <c r="CR44" s="446"/>
      <c r="CS44" s="390"/>
      <c r="CT44" s="492"/>
      <c r="CU44" s="492"/>
      <c r="CV44" s="390"/>
      <c r="CW44" s="329"/>
      <c r="CX44" s="329"/>
      <c r="CY44" s="390"/>
      <c r="CZ44" s="464"/>
      <c r="DA44" s="464"/>
      <c r="DB44" s="464"/>
      <c r="DC44" s="390"/>
      <c r="DD44" s="390"/>
      <c r="DE44" s="329"/>
      <c r="DF44" s="329"/>
      <c r="DG44" s="390"/>
      <c r="DH44" s="329"/>
      <c r="DI44" s="329"/>
      <c r="DJ44" s="390"/>
      <c r="DK44" s="329"/>
      <c r="DL44" s="329"/>
      <c r="DM44" s="390"/>
      <c r="DN44" s="48" t="s">
        <v>208</v>
      </c>
      <c r="DO44" s="528"/>
      <c r="DP44" s="495"/>
      <c r="DQ44" s="495"/>
      <c r="DR44" s="515"/>
      <c r="DS44" s="529"/>
      <c r="DT44" s="498"/>
      <c r="DU44" s="316"/>
      <c r="DV44" s="316"/>
      <c r="DW44" s="316"/>
      <c r="DX44" s="316"/>
      <c r="DY44" s="316"/>
      <c r="DZ44" s="316"/>
      <c r="EA44" s="319"/>
      <c r="EB44" s="319"/>
      <c r="EC44" s="319"/>
      <c r="ED44" s="319"/>
      <c r="EE44" s="492"/>
      <c r="EF44" s="492"/>
      <c r="EL44" s="58"/>
    </row>
    <row r="45" spans="1:142" ht="409.6" customHeight="1" x14ac:dyDescent="0.4">
      <c r="A45" s="633"/>
      <c r="B45" s="633"/>
      <c r="C45" s="633"/>
      <c r="D45" s="621"/>
      <c r="E45" s="376"/>
      <c r="F45" s="621"/>
      <c r="G45" s="376"/>
      <c r="H45" s="376"/>
      <c r="I45" s="376"/>
      <c r="J45" s="376"/>
      <c r="K45" s="568"/>
      <c r="L45" s="610"/>
      <c r="M45" s="610"/>
      <c r="N45" s="626"/>
      <c r="O45" s="610"/>
      <c r="P45" s="615"/>
      <c r="Q45" s="615"/>
      <c r="R45" s="615"/>
      <c r="S45" s="612"/>
      <c r="T45" s="612"/>
      <c r="U45" s="623"/>
      <c r="V45" s="353"/>
      <c r="W45" s="332"/>
      <c r="X45" s="332"/>
      <c r="Y45" s="353"/>
      <c r="Z45" s="332"/>
      <c r="AA45" s="332"/>
      <c r="AB45" s="353"/>
      <c r="AC45" s="332"/>
      <c r="AD45" s="331"/>
      <c r="AE45" s="353"/>
      <c r="AF45" s="332"/>
      <c r="AG45" s="331"/>
      <c r="AH45" s="353"/>
      <c r="AI45" s="332"/>
      <c r="AJ45" s="331"/>
      <c r="AK45" s="436"/>
      <c r="AL45" s="437"/>
      <c r="AM45" s="437"/>
      <c r="AN45" s="569"/>
      <c r="AO45" s="569"/>
      <c r="AP45" s="569"/>
      <c r="AQ45" s="420"/>
      <c r="AR45" s="129" t="s">
        <v>394</v>
      </c>
      <c r="AS45" s="436"/>
      <c r="AT45" s="31"/>
      <c r="AU45" s="134">
        <v>0.09</v>
      </c>
      <c r="AV45" s="123">
        <v>44958</v>
      </c>
      <c r="AW45" s="124">
        <v>45275</v>
      </c>
      <c r="AX45" s="29">
        <f t="shared" si="7"/>
        <v>317</v>
      </c>
      <c r="AY45" s="436"/>
      <c r="AZ45" s="436"/>
      <c r="BA45" s="375"/>
      <c r="BB45" s="362"/>
      <c r="BC45" s="331"/>
      <c r="BD45" s="375"/>
      <c r="BE45" s="362"/>
      <c r="BF45" s="331"/>
      <c r="BG45" s="375"/>
      <c r="BH45" s="362"/>
      <c r="BI45" s="331"/>
      <c r="BJ45" s="375"/>
      <c r="BK45" s="362"/>
      <c r="BL45" s="331"/>
      <c r="BM45" s="375"/>
      <c r="BN45" s="362"/>
      <c r="BO45" s="331"/>
      <c r="BP45" s="420"/>
      <c r="BQ45" s="420"/>
      <c r="BR45" s="420"/>
      <c r="BS45" s="62">
        <v>589978980</v>
      </c>
      <c r="BT45" s="48" t="s">
        <v>291</v>
      </c>
      <c r="BU45" s="420"/>
      <c r="BV45" s="420"/>
      <c r="BW45" s="461"/>
      <c r="BX45" s="461"/>
      <c r="BY45" s="462"/>
      <c r="BZ45" s="457"/>
      <c r="CA45" s="457"/>
      <c r="CB45" s="457"/>
      <c r="CC45" s="460"/>
      <c r="CD45" s="460"/>
      <c r="CE45" s="472"/>
      <c r="CF45" s="472"/>
      <c r="CG45" s="419"/>
      <c r="CH45" s="472"/>
      <c r="CI45" s="472"/>
      <c r="CJ45" s="419"/>
      <c r="CK45" s="472"/>
      <c r="CL45" s="472"/>
      <c r="CM45" s="419"/>
      <c r="CN45" s="447"/>
      <c r="CO45" s="447"/>
      <c r="CP45" s="391"/>
      <c r="CQ45" s="447"/>
      <c r="CR45" s="447"/>
      <c r="CS45" s="391"/>
      <c r="CT45" s="493"/>
      <c r="CU45" s="493"/>
      <c r="CV45" s="391"/>
      <c r="CW45" s="330"/>
      <c r="CX45" s="330"/>
      <c r="CY45" s="391"/>
      <c r="CZ45" s="465"/>
      <c r="DA45" s="465"/>
      <c r="DB45" s="465"/>
      <c r="DC45" s="391"/>
      <c r="DD45" s="391"/>
      <c r="DE45" s="330"/>
      <c r="DF45" s="330"/>
      <c r="DG45" s="391"/>
      <c r="DH45" s="330"/>
      <c r="DI45" s="330"/>
      <c r="DJ45" s="391"/>
      <c r="DK45" s="330"/>
      <c r="DL45" s="330"/>
      <c r="DM45" s="391"/>
      <c r="DN45" s="48" t="s">
        <v>208</v>
      </c>
      <c r="DO45" s="48" t="s">
        <v>278</v>
      </c>
      <c r="DP45" s="66" t="s">
        <v>279</v>
      </c>
      <c r="DQ45" s="66" t="s">
        <v>224</v>
      </c>
      <c r="DR45" s="71">
        <v>44986</v>
      </c>
      <c r="DS45" s="495"/>
      <c r="DT45" s="499"/>
      <c r="DU45" s="317"/>
      <c r="DV45" s="317"/>
      <c r="DW45" s="317"/>
      <c r="DX45" s="317"/>
      <c r="DY45" s="317"/>
      <c r="DZ45" s="317"/>
      <c r="EA45" s="320"/>
      <c r="EB45" s="320"/>
      <c r="EC45" s="320"/>
      <c r="ED45" s="320"/>
      <c r="EE45" s="493"/>
      <c r="EF45" s="493"/>
    </row>
    <row r="46" spans="1:142" s="100" customFormat="1" ht="77.25" customHeight="1" x14ac:dyDescent="0.5">
      <c r="A46" s="633"/>
      <c r="B46" s="633"/>
      <c r="C46" s="633"/>
      <c r="D46" s="621"/>
      <c r="E46" s="376"/>
      <c r="F46" s="621"/>
      <c r="G46" s="376"/>
      <c r="H46" s="376"/>
      <c r="I46" s="376"/>
      <c r="J46" s="376"/>
      <c r="K46" s="637" t="s">
        <v>281</v>
      </c>
      <c r="L46" s="638"/>
      <c r="M46" s="638"/>
      <c r="N46" s="638"/>
      <c r="O46" s="638"/>
      <c r="P46" s="638"/>
      <c r="Q46" s="638"/>
      <c r="R46" s="638"/>
      <c r="S46" s="638"/>
      <c r="T46" s="638"/>
      <c r="U46" s="638"/>
      <c r="V46" s="169"/>
      <c r="W46" s="78">
        <f>+AVERAGE(W35:W45)</f>
        <v>0.14686666666666667</v>
      </c>
      <c r="X46" s="78">
        <f>+AVERAGE(X35:X45)</f>
        <v>1.1314</v>
      </c>
      <c r="Y46" s="169"/>
      <c r="Z46" s="78">
        <f>+AVERAGE(Z35:Z45)</f>
        <v>0.1482</v>
      </c>
      <c r="AA46" s="78">
        <f>+AVERAGE(AA35:AA45)</f>
        <v>1.1315666666666666</v>
      </c>
      <c r="AB46" s="169"/>
      <c r="AC46" s="78">
        <f>+AVERAGE(AC43+AC35)</f>
        <v>0.35653333333333331</v>
      </c>
      <c r="AD46" s="78">
        <f>+AVERAGE(AD35:AD45)</f>
        <v>1.1353249999999999</v>
      </c>
      <c r="AE46" s="169"/>
      <c r="AF46" s="78">
        <f>+AVERAGE(AF35+AF43)/2</f>
        <v>0.71933333333333338</v>
      </c>
      <c r="AG46" s="78">
        <f>+AVERAGE(AG35:AG45)</f>
        <v>1.050875</v>
      </c>
      <c r="AH46" s="169"/>
      <c r="AI46" s="78">
        <f>+AVERAGE(AI35+AI43)/2</f>
        <v>1.0009000000000001</v>
      </c>
      <c r="AJ46" s="78">
        <f>+AVERAGE(AJ35:AJ45)</f>
        <v>1</v>
      </c>
      <c r="AK46" s="102"/>
      <c r="AL46" s="103"/>
      <c r="AM46" s="103"/>
      <c r="AN46" s="113"/>
      <c r="AO46" s="113"/>
      <c r="AP46" s="105"/>
      <c r="AQ46" s="106" t="s">
        <v>282</v>
      </c>
      <c r="AR46" s="130"/>
      <c r="AS46" s="106"/>
      <c r="AT46" s="106"/>
      <c r="AU46" s="244"/>
      <c r="AV46" s="125"/>
      <c r="AW46" s="126"/>
      <c r="AX46" s="107"/>
      <c r="AY46" s="98"/>
      <c r="AZ46" s="98"/>
      <c r="BA46" s="169"/>
      <c r="BB46" s="171">
        <f>+AVERAGE(BB35:BB45)</f>
        <v>0.14686666666666667</v>
      </c>
      <c r="BC46" s="78">
        <f>+AVERAGE(BC35:BC45)</f>
        <v>0.14686666666666667</v>
      </c>
      <c r="BD46" s="169"/>
      <c r="BE46" s="171">
        <f>+AVERAGE(BE35:BE45)</f>
        <v>0.1482</v>
      </c>
      <c r="BF46" s="78">
        <f>+AVERAGE(BF35:BF45)</f>
        <v>0.1482</v>
      </c>
      <c r="BG46" s="169"/>
      <c r="BH46" s="78">
        <f>+AVERAGE(BH43+BH35)</f>
        <v>0.35653333333333331</v>
      </c>
      <c r="BI46" s="78">
        <f>+AVERAGE(BI43+BI35)</f>
        <v>0.35653333333333331</v>
      </c>
      <c r="BJ46" s="169"/>
      <c r="BK46" s="78">
        <f>+AVERAGE(BK43+BK35)/2</f>
        <v>0.71933333333333338</v>
      </c>
      <c r="BL46" s="78">
        <f>+AVERAGE(BL43+BL35)</f>
        <v>0.71933333333333338</v>
      </c>
      <c r="BM46" s="169"/>
      <c r="BN46" s="78">
        <f>+AVERAGE(BN43+BN35)/2</f>
        <v>1.0009000000000001</v>
      </c>
      <c r="BO46" s="78">
        <f>+AVERAGE(BO43+BO35)</f>
        <v>1.0009000000000001</v>
      </c>
      <c r="BP46" s="105"/>
      <c r="BQ46" s="105"/>
      <c r="BR46" s="105"/>
      <c r="BS46" s="105"/>
      <c r="BT46" s="105"/>
      <c r="BU46" s="105"/>
      <c r="BV46" s="105"/>
      <c r="BW46" s="108">
        <f>BW35</f>
        <v>2050592850</v>
      </c>
      <c r="BX46" s="108">
        <f>BX35</f>
        <v>508613862</v>
      </c>
      <c r="BY46" s="114">
        <f>BX46/BW46</f>
        <v>0.24803259311081671</v>
      </c>
      <c r="BZ46" s="143">
        <v>2050592850</v>
      </c>
      <c r="CA46" s="143">
        <v>508613870</v>
      </c>
      <c r="CB46" s="143">
        <v>440172912</v>
      </c>
      <c r="CC46" s="144">
        <f>CA46/BZ46</f>
        <v>0.24803259701212749</v>
      </c>
      <c r="CD46" s="144">
        <f>CB46/BZ46</f>
        <v>0.21465641607011357</v>
      </c>
      <c r="CE46" s="108">
        <v>2050592850</v>
      </c>
      <c r="CF46" s="108">
        <v>508613862</v>
      </c>
      <c r="CG46" s="114">
        <f>CF46/CE46</f>
        <v>0.24803259311081671</v>
      </c>
      <c r="CH46" s="108">
        <v>2438097926.3099999</v>
      </c>
      <c r="CI46" s="108">
        <v>508613862</v>
      </c>
      <c r="CJ46" s="114">
        <f>CI46/CH46</f>
        <v>0.20861092432401776</v>
      </c>
      <c r="CK46" s="108">
        <v>2438097926.3099999</v>
      </c>
      <c r="CL46" s="108">
        <v>508613862</v>
      </c>
      <c r="CM46" s="114">
        <f>CL46/CK46</f>
        <v>0.20861092432401776</v>
      </c>
      <c r="CN46" s="108">
        <v>2438097926.3099999</v>
      </c>
      <c r="CO46" s="108">
        <v>508613862</v>
      </c>
      <c r="CP46" s="114">
        <f>CO46/CN46</f>
        <v>0.20861092432401776</v>
      </c>
      <c r="CQ46" s="108">
        <v>2438097926.3099999</v>
      </c>
      <c r="CR46" s="108">
        <v>508613862</v>
      </c>
      <c r="CS46" s="114">
        <f>CO46/CN46</f>
        <v>0.20861092432401776</v>
      </c>
      <c r="CT46" s="108">
        <f>CT35</f>
        <v>2438097926.3099999</v>
      </c>
      <c r="CU46" s="108">
        <f>CU35</f>
        <v>508613862</v>
      </c>
      <c r="CV46" s="114">
        <f>CR46/CQ46</f>
        <v>0.20861092432401776</v>
      </c>
      <c r="CW46" s="108">
        <f>CW35</f>
        <v>2438097926.3099999</v>
      </c>
      <c r="CX46" s="108">
        <f>CX35</f>
        <v>542350026.33000004</v>
      </c>
      <c r="CY46" s="114">
        <f>CX46/CW46</f>
        <v>0.22244800771839104</v>
      </c>
      <c r="CZ46" s="143">
        <v>2438097926.3099999</v>
      </c>
      <c r="DA46" s="143">
        <v>1024748964.6</v>
      </c>
      <c r="DB46" s="143">
        <v>955289226</v>
      </c>
      <c r="DC46" s="114">
        <f>DA46/CZ46</f>
        <v>0.42030672908652683</v>
      </c>
      <c r="DD46" s="114">
        <f>DB46/CZ46</f>
        <v>0.39181741458834934</v>
      </c>
      <c r="DE46" s="108">
        <f>DE35</f>
        <v>2438097926.3099999</v>
      </c>
      <c r="DF46" s="108">
        <f>DF35</f>
        <v>1295205718.4400001</v>
      </c>
      <c r="DG46" s="114">
        <f>DF46/DE46</f>
        <v>0.53123613471927333</v>
      </c>
      <c r="DH46" s="108">
        <f>DH35</f>
        <v>2438097926.3099999</v>
      </c>
      <c r="DI46" s="108">
        <f>DI35</f>
        <v>1370844648.4400001</v>
      </c>
      <c r="DJ46" s="114">
        <f>DI46/DH46</f>
        <v>0.56225988039567343</v>
      </c>
      <c r="DK46" s="108">
        <f>DK35</f>
        <v>2438097926.3099999</v>
      </c>
      <c r="DL46" s="108">
        <f>DL35</f>
        <v>1480529600</v>
      </c>
      <c r="DM46" s="114">
        <f>DL46/DK46</f>
        <v>0.6072477992058114</v>
      </c>
      <c r="DN46" s="105"/>
      <c r="DO46" s="105"/>
      <c r="DP46" s="110"/>
      <c r="DQ46" s="111"/>
      <c r="DR46" s="110"/>
      <c r="DS46" s="110"/>
      <c r="DT46" s="110"/>
      <c r="DU46" s="110"/>
      <c r="DV46" s="110"/>
      <c r="DW46" s="110"/>
      <c r="DX46" s="110"/>
      <c r="DY46" s="110"/>
      <c r="DZ46" s="110"/>
      <c r="EA46" s="110"/>
      <c r="EB46" s="110"/>
      <c r="EC46" s="110"/>
      <c r="ED46" s="110"/>
      <c r="EE46" s="110"/>
      <c r="EF46" s="110"/>
    </row>
    <row r="47" spans="1:142" ht="50.25" customHeight="1" x14ac:dyDescent="0.4">
      <c r="A47" s="633"/>
      <c r="B47" s="633"/>
      <c r="C47" s="633"/>
      <c r="D47" s="610" t="s">
        <v>395</v>
      </c>
      <c r="E47" s="436">
        <v>1049212</v>
      </c>
      <c r="F47" s="610" t="s">
        <v>395</v>
      </c>
      <c r="G47" s="436">
        <v>83936.960000000006</v>
      </c>
      <c r="H47" s="436" t="s">
        <v>189</v>
      </c>
      <c r="I47" s="436">
        <f>+T47+T54+T60+T67</f>
        <v>45433</v>
      </c>
      <c r="J47" s="436">
        <v>323907</v>
      </c>
      <c r="K47" s="569" t="s">
        <v>396</v>
      </c>
      <c r="L47" s="610" t="s">
        <v>397</v>
      </c>
      <c r="M47" s="610" t="s">
        <v>189</v>
      </c>
      <c r="N47" s="626">
        <v>13310</v>
      </c>
      <c r="O47" s="610" t="s">
        <v>398</v>
      </c>
      <c r="P47" s="436" t="s">
        <v>193</v>
      </c>
      <c r="Q47" s="436"/>
      <c r="R47" s="436" t="s">
        <v>399</v>
      </c>
      <c r="S47" s="614">
        <v>14131</v>
      </c>
      <c r="T47" s="614">
        <v>11970</v>
      </c>
      <c r="U47" s="614">
        <v>103620</v>
      </c>
      <c r="V47" s="348">
        <f>8830+2560+2658+1562+2713+1491</f>
        <v>19814</v>
      </c>
      <c r="W47" s="331">
        <v>1</v>
      </c>
      <c r="X47" s="331">
        <v>1</v>
      </c>
      <c r="Y47" s="348">
        <f>8830+2560+2658+1562+2713+1491+1923</f>
        <v>21737</v>
      </c>
      <c r="Z47" s="331">
        <v>1</v>
      </c>
      <c r="AA47" s="331">
        <v>1</v>
      </c>
      <c r="AB47" s="348">
        <f>8830+2560+2658+1562+2713+1491+1923+3537</f>
        <v>25274</v>
      </c>
      <c r="AC47" s="331">
        <v>1</v>
      </c>
      <c r="AD47" s="331">
        <v>1</v>
      </c>
      <c r="AE47" s="348">
        <f>8830+2560+2658+1562+2713+1491+1923+3537+1498</f>
        <v>26772</v>
      </c>
      <c r="AF47" s="331">
        <v>1</v>
      </c>
      <c r="AG47" s="331">
        <v>1</v>
      </c>
      <c r="AH47" s="348">
        <f>8830+2560+2658+1562+2713+1491+1923+3537+1498+1177</f>
        <v>27949</v>
      </c>
      <c r="AI47" s="331">
        <v>1</v>
      </c>
      <c r="AJ47" s="331">
        <v>1</v>
      </c>
      <c r="AK47" s="436" t="s">
        <v>195</v>
      </c>
      <c r="AL47" s="437" t="s">
        <v>196</v>
      </c>
      <c r="AM47" s="437" t="s">
        <v>400</v>
      </c>
      <c r="AN47" s="569" t="s">
        <v>401</v>
      </c>
      <c r="AO47" s="569" t="s">
        <v>402</v>
      </c>
      <c r="AP47" s="420">
        <v>2020130010055</v>
      </c>
      <c r="AQ47" s="420" t="s">
        <v>403</v>
      </c>
      <c r="AR47" s="129" t="s">
        <v>404</v>
      </c>
      <c r="AS47" s="614"/>
      <c r="AT47" s="29"/>
      <c r="AU47" s="134">
        <v>0.11</v>
      </c>
      <c r="AV47" s="123">
        <v>44958</v>
      </c>
      <c r="AW47" s="124">
        <v>45275</v>
      </c>
      <c r="AX47" s="29">
        <f t="shared" ref="AX47:AX58" si="8">+AW47-AV47</f>
        <v>317</v>
      </c>
      <c r="AY47" s="614">
        <v>11970</v>
      </c>
      <c r="AZ47" s="612">
        <v>8830</v>
      </c>
      <c r="BA47" s="348">
        <f>8830+2560+2658+1562+2713+1491</f>
        <v>19814</v>
      </c>
      <c r="BB47" s="341">
        <v>1</v>
      </c>
      <c r="BC47" s="331">
        <f>+AVERAGE(BB47:BB58)</f>
        <v>0.93333333333333324</v>
      </c>
      <c r="BD47" s="348">
        <f>8830+2560+2658+1562+2713+1491+1923</f>
        <v>21737</v>
      </c>
      <c r="BE47" s="341">
        <v>1</v>
      </c>
      <c r="BF47" s="331">
        <f>+AVERAGE(BE47:BE58)</f>
        <v>0.93333333333333324</v>
      </c>
      <c r="BG47" s="376">
        <f>8830+2560+2658+1562+2713+1491+1923+3537</f>
        <v>25274</v>
      </c>
      <c r="BH47" s="341">
        <v>1</v>
      </c>
      <c r="BI47" s="331">
        <f>+AVERAGE(BH47:BH58)</f>
        <v>1</v>
      </c>
      <c r="BJ47" s="376">
        <f>8830+2560+2658+1562+2713+1491+1923+3537+1498</f>
        <v>26772</v>
      </c>
      <c r="BK47" s="341">
        <v>1</v>
      </c>
      <c r="BL47" s="331">
        <f>+AVERAGE(BK47:BK58)</f>
        <v>1</v>
      </c>
      <c r="BM47" s="376">
        <f>8830+2560+2658+1562+2713+1491+1923+3537+1498+1177</f>
        <v>27949</v>
      </c>
      <c r="BN47" s="341">
        <v>1</v>
      </c>
      <c r="BO47" s="331">
        <f>+AVERAGE(BN47:BN58)</f>
        <v>1</v>
      </c>
      <c r="BP47" s="420" t="s">
        <v>202</v>
      </c>
      <c r="BQ47" s="420" t="s">
        <v>203</v>
      </c>
      <c r="BR47" s="420" t="s">
        <v>204</v>
      </c>
      <c r="BS47" s="64">
        <v>248709000</v>
      </c>
      <c r="BT47" s="48" t="s">
        <v>224</v>
      </c>
      <c r="BU47" s="420" t="s">
        <v>405</v>
      </c>
      <c r="BV47" s="420" t="s">
        <v>406</v>
      </c>
      <c r="BW47" s="571">
        <v>2903434996</v>
      </c>
      <c r="BX47" s="571">
        <v>1777338648</v>
      </c>
      <c r="BY47" s="562">
        <f>BX47/BW47</f>
        <v>0.61215031521236096</v>
      </c>
      <c r="BZ47" s="572">
        <v>2903434996</v>
      </c>
      <c r="CA47" s="572">
        <v>1777791844</v>
      </c>
      <c r="CB47" s="572">
        <v>0</v>
      </c>
      <c r="CC47" s="448">
        <f>CA47/BZ47</f>
        <v>0.61230640480989784</v>
      </c>
      <c r="CD47" s="708">
        <f>CB47/BZ47</f>
        <v>0</v>
      </c>
      <c r="CE47" s="473">
        <v>2903434996</v>
      </c>
      <c r="CF47" s="473">
        <v>1777338648</v>
      </c>
      <c r="CG47" s="448">
        <f>CF47/CE47</f>
        <v>0.61215031521236096</v>
      </c>
      <c r="CH47" s="473">
        <v>2903434996</v>
      </c>
      <c r="CI47" s="473">
        <v>1741913515</v>
      </c>
      <c r="CJ47" s="448">
        <f>CI47/CH47</f>
        <v>0.5999492040978347</v>
      </c>
      <c r="CK47" s="473">
        <v>2903434996</v>
      </c>
      <c r="CL47" s="473">
        <v>1741913515</v>
      </c>
      <c r="CM47" s="448">
        <f>CL47/CK47</f>
        <v>0.5999492040978347</v>
      </c>
      <c r="CN47" s="386">
        <v>2903434996</v>
      </c>
      <c r="CO47" s="386">
        <v>1839018515</v>
      </c>
      <c r="CP47" s="389">
        <f>CO47/CN47</f>
        <v>0.63339407203315257</v>
      </c>
      <c r="CQ47" s="386">
        <v>2903434996</v>
      </c>
      <c r="CR47" s="386">
        <v>1910235602</v>
      </c>
      <c r="CS47" s="389">
        <f>CO47/CN47</f>
        <v>0.63339407203315257</v>
      </c>
      <c r="CT47" s="386">
        <v>2903434996</v>
      </c>
      <c r="CU47" s="386">
        <v>1910235602</v>
      </c>
      <c r="CV47" s="389">
        <f>CR47/CQ47</f>
        <v>0.65792263461441036</v>
      </c>
      <c r="CW47" s="386">
        <v>2903434996</v>
      </c>
      <c r="CX47" s="386">
        <v>1971481928.4300001</v>
      </c>
      <c r="CY47" s="389">
        <f>CX47/CW47</f>
        <v>0.67901707155354551</v>
      </c>
      <c r="CZ47" s="463">
        <v>2903434996</v>
      </c>
      <c r="DA47" s="463">
        <v>2437929342.2600002</v>
      </c>
      <c r="DB47" s="463">
        <v>2387929342.2600002</v>
      </c>
      <c r="DC47" s="264">
        <f>DA47/CZ47</f>
        <v>0.83967071610650246</v>
      </c>
      <c r="DD47" s="264">
        <f>DB47/CZ47</f>
        <v>0.82244973472793403</v>
      </c>
      <c r="DE47" s="386">
        <v>2903434996</v>
      </c>
      <c r="DF47" s="386">
        <v>2479985018.98</v>
      </c>
      <c r="DG47" s="389">
        <f>DF47/DE47</f>
        <v>0.85415551661966671</v>
      </c>
      <c r="DH47" s="386">
        <v>2903434996</v>
      </c>
      <c r="DI47" s="386">
        <v>2625299853.98</v>
      </c>
      <c r="DJ47" s="389">
        <f>DI47/DH47</f>
        <v>0.90420479797096176</v>
      </c>
      <c r="DK47" s="386">
        <v>2903434996</v>
      </c>
      <c r="DL47" s="386">
        <v>2660104366.5</v>
      </c>
      <c r="DM47" s="389">
        <f>DL47/DK47</f>
        <v>0.91619215521090314</v>
      </c>
      <c r="DN47" s="48" t="s">
        <v>208</v>
      </c>
      <c r="DO47" s="48" t="s">
        <v>407</v>
      </c>
      <c r="DP47" s="66" t="s">
        <v>408</v>
      </c>
      <c r="DQ47" s="48" t="s">
        <v>291</v>
      </c>
      <c r="DR47" s="71">
        <v>44927</v>
      </c>
      <c r="DS47" s="496" t="s">
        <v>409</v>
      </c>
      <c r="DT47" s="511" t="s">
        <v>410</v>
      </c>
      <c r="DU47" s="310" t="s">
        <v>411</v>
      </c>
      <c r="DV47" s="328" t="s">
        <v>412</v>
      </c>
      <c r="DW47" s="597" t="s">
        <v>413</v>
      </c>
      <c r="DX47" s="425" t="s">
        <v>414</v>
      </c>
      <c r="DY47" s="425" t="s">
        <v>415</v>
      </c>
      <c r="DZ47" s="425" t="s">
        <v>416</v>
      </c>
      <c r="EA47" s="425" t="s">
        <v>417</v>
      </c>
      <c r="EB47" s="425" t="s">
        <v>418</v>
      </c>
      <c r="EC47" s="321" t="s">
        <v>752</v>
      </c>
      <c r="ED47" s="321" t="s">
        <v>783</v>
      </c>
      <c r="EE47" s="496" t="s">
        <v>221</v>
      </c>
      <c r="EF47" s="496" t="s">
        <v>306</v>
      </c>
    </row>
    <row r="48" spans="1:142" ht="50.25" customHeight="1" x14ac:dyDescent="0.4">
      <c r="A48" s="633"/>
      <c r="B48" s="633"/>
      <c r="C48" s="633"/>
      <c r="D48" s="610"/>
      <c r="E48" s="436"/>
      <c r="F48" s="610"/>
      <c r="G48" s="436"/>
      <c r="H48" s="436"/>
      <c r="I48" s="436"/>
      <c r="J48" s="436"/>
      <c r="K48" s="569"/>
      <c r="L48" s="610"/>
      <c r="M48" s="610"/>
      <c r="N48" s="626"/>
      <c r="O48" s="610"/>
      <c r="P48" s="436"/>
      <c r="Q48" s="436"/>
      <c r="R48" s="436"/>
      <c r="S48" s="614"/>
      <c r="T48" s="614"/>
      <c r="U48" s="614"/>
      <c r="V48" s="348"/>
      <c r="W48" s="331"/>
      <c r="X48" s="331"/>
      <c r="Y48" s="348"/>
      <c r="Z48" s="331"/>
      <c r="AA48" s="331"/>
      <c r="AB48" s="348"/>
      <c r="AC48" s="331"/>
      <c r="AD48" s="331"/>
      <c r="AE48" s="348"/>
      <c r="AF48" s="331"/>
      <c r="AG48" s="331"/>
      <c r="AH48" s="348"/>
      <c r="AI48" s="331"/>
      <c r="AJ48" s="331"/>
      <c r="AK48" s="436"/>
      <c r="AL48" s="437"/>
      <c r="AM48" s="437"/>
      <c r="AN48" s="569"/>
      <c r="AO48" s="569"/>
      <c r="AP48" s="420"/>
      <c r="AQ48" s="420"/>
      <c r="AR48" s="129" t="s">
        <v>419</v>
      </c>
      <c r="AS48" s="614"/>
      <c r="AT48" s="29"/>
      <c r="AU48" s="134">
        <v>0.1</v>
      </c>
      <c r="AV48" s="123">
        <v>44958</v>
      </c>
      <c r="AW48" s="124">
        <v>45275</v>
      </c>
      <c r="AX48" s="29">
        <f t="shared" si="8"/>
        <v>317</v>
      </c>
      <c r="AY48" s="614"/>
      <c r="AZ48" s="612"/>
      <c r="BA48" s="348"/>
      <c r="BB48" s="342"/>
      <c r="BC48" s="331"/>
      <c r="BD48" s="348"/>
      <c r="BE48" s="342"/>
      <c r="BF48" s="331"/>
      <c r="BG48" s="376"/>
      <c r="BH48" s="342"/>
      <c r="BI48" s="331"/>
      <c r="BJ48" s="376"/>
      <c r="BK48" s="342"/>
      <c r="BL48" s="331"/>
      <c r="BM48" s="376"/>
      <c r="BN48" s="342"/>
      <c r="BO48" s="331"/>
      <c r="BP48" s="420"/>
      <c r="BQ48" s="420"/>
      <c r="BR48" s="420"/>
      <c r="BS48" s="64">
        <v>119923316</v>
      </c>
      <c r="BT48" s="48" t="s">
        <v>224</v>
      </c>
      <c r="BU48" s="420"/>
      <c r="BV48" s="420"/>
      <c r="BW48" s="571"/>
      <c r="BX48" s="571"/>
      <c r="BY48" s="562"/>
      <c r="BZ48" s="573"/>
      <c r="CA48" s="573"/>
      <c r="CB48" s="573"/>
      <c r="CC48" s="449"/>
      <c r="CD48" s="709"/>
      <c r="CE48" s="474"/>
      <c r="CF48" s="474"/>
      <c r="CG48" s="449"/>
      <c r="CH48" s="474"/>
      <c r="CI48" s="474"/>
      <c r="CJ48" s="449"/>
      <c r="CK48" s="474"/>
      <c r="CL48" s="474"/>
      <c r="CM48" s="449"/>
      <c r="CN48" s="446"/>
      <c r="CO48" s="446"/>
      <c r="CP48" s="390"/>
      <c r="CQ48" s="446"/>
      <c r="CR48" s="446"/>
      <c r="CS48" s="390"/>
      <c r="CT48" s="433"/>
      <c r="CU48" s="433"/>
      <c r="CV48" s="390"/>
      <c r="CW48" s="400"/>
      <c r="CX48" s="400"/>
      <c r="CY48" s="390"/>
      <c r="CZ48" s="464"/>
      <c r="DA48" s="464"/>
      <c r="DB48" s="464"/>
      <c r="DC48" s="265"/>
      <c r="DD48" s="265"/>
      <c r="DE48" s="400"/>
      <c r="DF48" s="400"/>
      <c r="DG48" s="390"/>
      <c r="DH48" s="400"/>
      <c r="DI48" s="400"/>
      <c r="DJ48" s="390"/>
      <c r="DK48" s="400"/>
      <c r="DL48" s="400"/>
      <c r="DM48" s="390"/>
      <c r="DN48" s="48" t="s">
        <v>208</v>
      </c>
      <c r="DO48" s="48" t="s">
        <v>420</v>
      </c>
      <c r="DP48" s="66" t="s">
        <v>318</v>
      </c>
      <c r="DQ48" s="48" t="s">
        <v>291</v>
      </c>
      <c r="DR48" s="71">
        <v>44927</v>
      </c>
      <c r="DS48" s="492"/>
      <c r="DT48" s="512"/>
      <c r="DU48" s="312"/>
      <c r="DV48" s="329"/>
      <c r="DW48" s="598"/>
      <c r="DX48" s="426"/>
      <c r="DY48" s="426"/>
      <c r="DZ48" s="426"/>
      <c r="EA48" s="426"/>
      <c r="EB48" s="426"/>
      <c r="EC48" s="322"/>
      <c r="ED48" s="322"/>
      <c r="EE48" s="492"/>
      <c r="EF48" s="492"/>
    </row>
    <row r="49" spans="1:136" ht="50.25" customHeight="1" x14ac:dyDescent="0.4">
      <c r="A49" s="633"/>
      <c r="B49" s="633"/>
      <c r="C49" s="633"/>
      <c r="D49" s="610"/>
      <c r="E49" s="436"/>
      <c r="F49" s="610"/>
      <c r="G49" s="436"/>
      <c r="H49" s="436"/>
      <c r="I49" s="436"/>
      <c r="J49" s="436"/>
      <c r="K49" s="569"/>
      <c r="L49" s="610"/>
      <c r="M49" s="610"/>
      <c r="N49" s="626"/>
      <c r="O49" s="610"/>
      <c r="P49" s="436"/>
      <c r="Q49" s="436" t="s">
        <v>193</v>
      </c>
      <c r="R49" s="436" t="s">
        <v>421</v>
      </c>
      <c r="S49" s="614"/>
      <c r="T49" s="614"/>
      <c r="U49" s="614"/>
      <c r="V49" s="348"/>
      <c r="W49" s="331"/>
      <c r="X49" s="331"/>
      <c r="Y49" s="348"/>
      <c r="Z49" s="331"/>
      <c r="AA49" s="331"/>
      <c r="AB49" s="348"/>
      <c r="AC49" s="331"/>
      <c r="AD49" s="331"/>
      <c r="AE49" s="348"/>
      <c r="AF49" s="331"/>
      <c r="AG49" s="331"/>
      <c r="AH49" s="348"/>
      <c r="AI49" s="331"/>
      <c r="AJ49" s="331"/>
      <c r="AK49" s="436"/>
      <c r="AL49" s="437"/>
      <c r="AM49" s="437"/>
      <c r="AN49" s="569"/>
      <c r="AO49" s="569"/>
      <c r="AP49" s="420"/>
      <c r="AQ49" s="420"/>
      <c r="AR49" s="129" t="s">
        <v>422</v>
      </c>
      <c r="AS49" s="614"/>
      <c r="AT49" s="29"/>
      <c r="AU49" s="134">
        <v>0.13</v>
      </c>
      <c r="AV49" s="123">
        <v>44958</v>
      </c>
      <c r="AW49" s="124">
        <v>45275</v>
      </c>
      <c r="AX49" s="29">
        <f t="shared" si="8"/>
        <v>317</v>
      </c>
      <c r="AY49" s="614"/>
      <c r="AZ49" s="612"/>
      <c r="BA49" s="348"/>
      <c r="BB49" s="342"/>
      <c r="BC49" s="331"/>
      <c r="BD49" s="348"/>
      <c r="BE49" s="342"/>
      <c r="BF49" s="331"/>
      <c r="BG49" s="376"/>
      <c r="BH49" s="342"/>
      <c r="BI49" s="331"/>
      <c r="BJ49" s="376"/>
      <c r="BK49" s="342"/>
      <c r="BL49" s="331"/>
      <c r="BM49" s="376"/>
      <c r="BN49" s="342"/>
      <c r="BO49" s="331"/>
      <c r="BP49" s="420"/>
      <c r="BQ49" s="420"/>
      <c r="BR49" s="420"/>
      <c r="BS49" s="64">
        <v>444960000</v>
      </c>
      <c r="BT49" s="48" t="s">
        <v>224</v>
      </c>
      <c r="BU49" s="420"/>
      <c r="BV49" s="420"/>
      <c r="BW49" s="571"/>
      <c r="BX49" s="571"/>
      <c r="BY49" s="562"/>
      <c r="BZ49" s="573"/>
      <c r="CA49" s="573"/>
      <c r="CB49" s="573"/>
      <c r="CC49" s="449"/>
      <c r="CD49" s="709"/>
      <c r="CE49" s="474"/>
      <c r="CF49" s="474"/>
      <c r="CG49" s="449"/>
      <c r="CH49" s="474"/>
      <c r="CI49" s="474"/>
      <c r="CJ49" s="449"/>
      <c r="CK49" s="474"/>
      <c r="CL49" s="474"/>
      <c r="CM49" s="449"/>
      <c r="CN49" s="446"/>
      <c r="CO49" s="446"/>
      <c r="CP49" s="390"/>
      <c r="CQ49" s="446"/>
      <c r="CR49" s="446"/>
      <c r="CS49" s="390"/>
      <c r="CT49" s="433"/>
      <c r="CU49" s="433"/>
      <c r="CV49" s="390"/>
      <c r="CW49" s="400"/>
      <c r="CX49" s="400"/>
      <c r="CY49" s="390"/>
      <c r="CZ49" s="464"/>
      <c r="DA49" s="464"/>
      <c r="DB49" s="464"/>
      <c r="DC49" s="265"/>
      <c r="DD49" s="265"/>
      <c r="DE49" s="400"/>
      <c r="DF49" s="400"/>
      <c r="DG49" s="390"/>
      <c r="DH49" s="400"/>
      <c r="DI49" s="400"/>
      <c r="DJ49" s="390"/>
      <c r="DK49" s="400"/>
      <c r="DL49" s="400"/>
      <c r="DM49" s="390"/>
      <c r="DN49" s="48" t="s">
        <v>208</v>
      </c>
      <c r="DO49" s="48" t="s">
        <v>209</v>
      </c>
      <c r="DP49" s="66" t="s">
        <v>210</v>
      </c>
      <c r="DQ49" s="48" t="s">
        <v>291</v>
      </c>
      <c r="DR49" s="71">
        <v>44927</v>
      </c>
      <c r="DS49" s="492"/>
      <c r="DT49" s="512"/>
      <c r="DU49" s="312"/>
      <c r="DV49" s="329"/>
      <c r="DW49" s="598"/>
      <c r="DX49" s="426"/>
      <c r="DY49" s="426"/>
      <c r="DZ49" s="426"/>
      <c r="EA49" s="426"/>
      <c r="EB49" s="426"/>
      <c r="EC49" s="322"/>
      <c r="ED49" s="322"/>
      <c r="EE49" s="492"/>
      <c r="EF49" s="492"/>
    </row>
    <row r="50" spans="1:136" ht="50.25" customHeight="1" x14ac:dyDescent="0.4">
      <c r="A50" s="633"/>
      <c r="B50" s="633"/>
      <c r="C50" s="633"/>
      <c r="D50" s="610"/>
      <c r="E50" s="436"/>
      <c r="F50" s="610"/>
      <c r="G50" s="436"/>
      <c r="H50" s="436"/>
      <c r="I50" s="436"/>
      <c r="J50" s="436"/>
      <c r="K50" s="569"/>
      <c r="L50" s="610"/>
      <c r="M50" s="610"/>
      <c r="N50" s="626"/>
      <c r="O50" s="610"/>
      <c r="P50" s="436"/>
      <c r="Q50" s="436"/>
      <c r="R50" s="436"/>
      <c r="S50" s="614"/>
      <c r="T50" s="614"/>
      <c r="U50" s="614"/>
      <c r="V50" s="348"/>
      <c r="W50" s="331"/>
      <c r="X50" s="331"/>
      <c r="Y50" s="348"/>
      <c r="Z50" s="331"/>
      <c r="AA50" s="331"/>
      <c r="AB50" s="348"/>
      <c r="AC50" s="331"/>
      <c r="AD50" s="331"/>
      <c r="AE50" s="348"/>
      <c r="AF50" s="331"/>
      <c r="AG50" s="331"/>
      <c r="AH50" s="348"/>
      <c r="AI50" s="331"/>
      <c r="AJ50" s="331"/>
      <c r="AK50" s="436"/>
      <c r="AL50" s="437"/>
      <c r="AM50" s="437"/>
      <c r="AN50" s="569"/>
      <c r="AO50" s="569"/>
      <c r="AP50" s="420"/>
      <c r="AQ50" s="420"/>
      <c r="AR50" s="129" t="s">
        <v>423</v>
      </c>
      <c r="AS50" s="614"/>
      <c r="AT50" s="29"/>
      <c r="AU50" s="134">
        <v>0.13</v>
      </c>
      <c r="AV50" s="123">
        <v>44958</v>
      </c>
      <c r="AW50" s="124">
        <v>45275</v>
      </c>
      <c r="AX50" s="29">
        <f t="shared" si="8"/>
        <v>317</v>
      </c>
      <c r="AY50" s="614"/>
      <c r="AZ50" s="612"/>
      <c r="BA50" s="348"/>
      <c r="BB50" s="342"/>
      <c r="BC50" s="331"/>
      <c r="BD50" s="348"/>
      <c r="BE50" s="342"/>
      <c r="BF50" s="331"/>
      <c r="BG50" s="376"/>
      <c r="BH50" s="342"/>
      <c r="BI50" s="331"/>
      <c r="BJ50" s="376"/>
      <c r="BK50" s="342"/>
      <c r="BL50" s="331"/>
      <c r="BM50" s="376"/>
      <c r="BN50" s="342"/>
      <c r="BO50" s="331"/>
      <c r="BP50" s="420"/>
      <c r="BQ50" s="420"/>
      <c r="BR50" s="420"/>
      <c r="BS50" s="64">
        <v>105513200</v>
      </c>
      <c r="BT50" s="48" t="s">
        <v>224</v>
      </c>
      <c r="BU50" s="420"/>
      <c r="BV50" s="420"/>
      <c r="BW50" s="571"/>
      <c r="BX50" s="571"/>
      <c r="BY50" s="562"/>
      <c r="BZ50" s="573"/>
      <c r="CA50" s="573"/>
      <c r="CB50" s="573"/>
      <c r="CC50" s="449"/>
      <c r="CD50" s="709"/>
      <c r="CE50" s="474"/>
      <c r="CF50" s="474"/>
      <c r="CG50" s="449"/>
      <c r="CH50" s="474"/>
      <c r="CI50" s="474"/>
      <c r="CJ50" s="449"/>
      <c r="CK50" s="474"/>
      <c r="CL50" s="474"/>
      <c r="CM50" s="449"/>
      <c r="CN50" s="446"/>
      <c r="CO50" s="446"/>
      <c r="CP50" s="390"/>
      <c r="CQ50" s="446"/>
      <c r="CR50" s="446"/>
      <c r="CS50" s="390"/>
      <c r="CT50" s="433"/>
      <c r="CU50" s="433"/>
      <c r="CV50" s="390"/>
      <c r="CW50" s="400"/>
      <c r="CX50" s="400"/>
      <c r="CY50" s="390"/>
      <c r="CZ50" s="464"/>
      <c r="DA50" s="464"/>
      <c r="DB50" s="464"/>
      <c r="DC50" s="265"/>
      <c r="DD50" s="265"/>
      <c r="DE50" s="400"/>
      <c r="DF50" s="400"/>
      <c r="DG50" s="390"/>
      <c r="DH50" s="400"/>
      <c r="DI50" s="400"/>
      <c r="DJ50" s="390"/>
      <c r="DK50" s="400"/>
      <c r="DL50" s="400"/>
      <c r="DM50" s="390"/>
      <c r="DN50" s="48" t="s">
        <v>208</v>
      </c>
      <c r="DO50" s="48" t="s">
        <v>209</v>
      </c>
      <c r="DP50" s="66" t="s">
        <v>210</v>
      </c>
      <c r="DQ50" s="48" t="s">
        <v>291</v>
      </c>
      <c r="DR50" s="71">
        <v>44927</v>
      </c>
      <c r="DS50" s="492"/>
      <c r="DT50" s="512"/>
      <c r="DU50" s="312"/>
      <c r="DV50" s="329"/>
      <c r="DW50" s="598"/>
      <c r="DX50" s="426"/>
      <c r="DY50" s="426"/>
      <c r="DZ50" s="426"/>
      <c r="EA50" s="426"/>
      <c r="EB50" s="426"/>
      <c r="EC50" s="322"/>
      <c r="ED50" s="322"/>
      <c r="EE50" s="492"/>
      <c r="EF50" s="492"/>
    </row>
    <row r="51" spans="1:136" ht="50.25" customHeight="1" x14ac:dyDescent="0.4">
      <c r="A51" s="633"/>
      <c r="B51" s="633"/>
      <c r="C51" s="633"/>
      <c r="D51" s="610"/>
      <c r="E51" s="436"/>
      <c r="F51" s="610"/>
      <c r="G51" s="436"/>
      <c r="H51" s="436"/>
      <c r="I51" s="436"/>
      <c r="J51" s="436"/>
      <c r="K51" s="569"/>
      <c r="L51" s="610"/>
      <c r="M51" s="610"/>
      <c r="N51" s="626"/>
      <c r="O51" s="610"/>
      <c r="P51" s="436"/>
      <c r="Q51" s="436"/>
      <c r="R51" s="436"/>
      <c r="S51" s="614"/>
      <c r="T51" s="614"/>
      <c r="U51" s="614"/>
      <c r="V51" s="348"/>
      <c r="W51" s="331"/>
      <c r="X51" s="331"/>
      <c r="Y51" s="348"/>
      <c r="Z51" s="331"/>
      <c r="AA51" s="331"/>
      <c r="AB51" s="348"/>
      <c r="AC51" s="331"/>
      <c r="AD51" s="331"/>
      <c r="AE51" s="348"/>
      <c r="AF51" s="331"/>
      <c r="AG51" s="331"/>
      <c r="AH51" s="348"/>
      <c r="AI51" s="331"/>
      <c r="AJ51" s="331"/>
      <c r="AK51" s="436"/>
      <c r="AL51" s="437"/>
      <c r="AM51" s="437"/>
      <c r="AN51" s="569"/>
      <c r="AO51" s="569"/>
      <c r="AP51" s="420"/>
      <c r="AQ51" s="420"/>
      <c r="AR51" s="129" t="s">
        <v>424</v>
      </c>
      <c r="AS51" s="614"/>
      <c r="AT51" s="29"/>
      <c r="AU51" s="134">
        <v>0.13</v>
      </c>
      <c r="AV51" s="123">
        <v>44958</v>
      </c>
      <c r="AW51" s="124">
        <v>45275</v>
      </c>
      <c r="AX51" s="29">
        <f t="shared" si="8"/>
        <v>317</v>
      </c>
      <c r="AY51" s="614"/>
      <c r="AZ51" s="612"/>
      <c r="BA51" s="348"/>
      <c r="BB51" s="342"/>
      <c r="BC51" s="331"/>
      <c r="BD51" s="348"/>
      <c r="BE51" s="342"/>
      <c r="BF51" s="331"/>
      <c r="BG51" s="376"/>
      <c r="BH51" s="342"/>
      <c r="BI51" s="331"/>
      <c r="BJ51" s="376"/>
      <c r="BK51" s="342"/>
      <c r="BL51" s="331"/>
      <c r="BM51" s="376"/>
      <c r="BN51" s="342"/>
      <c r="BO51" s="331"/>
      <c r="BP51" s="420"/>
      <c r="BQ51" s="420"/>
      <c r="BR51" s="420"/>
      <c r="BS51" s="64">
        <v>301501600</v>
      </c>
      <c r="BT51" s="48" t="s">
        <v>224</v>
      </c>
      <c r="BU51" s="420"/>
      <c r="BV51" s="420"/>
      <c r="BW51" s="571"/>
      <c r="BX51" s="571"/>
      <c r="BY51" s="562"/>
      <c r="BZ51" s="573"/>
      <c r="CA51" s="573"/>
      <c r="CB51" s="573"/>
      <c r="CC51" s="449"/>
      <c r="CD51" s="709"/>
      <c r="CE51" s="474"/>
      <c r="CF51" s="474"/>
      <c r="CG51" s="449"/>
      <c r="CH51" s="474"/>
      <c r="CI51" s="474"/>
      <c r="CJ51" s="449"/>
      <c r="CK51" s="474"/>
      <c r="CL51" s="474"/>
      <c r="CM51" s="449"/>
      <c r="CN51" s="446"/>
      <c r="CO51" s="446"/>
      <c r="CP51" s="390"/>
      <c r="CQ51" s="446"/>
      <c r="CR51" s="446"/>
      <c r="CS51" s="390"/>
      <c r="CT51" s="433"/>
      <c r="CU51" s="433"/>
      <c r="CV51" s="390"/>
      <c r="CW51" s="400"/>
      <c r="CX51" s="400"/>
      <c r="CY51" s="390"/>
      <c r="CZ51" s="464"/>
      <c r="DA51" s="464"/>
      <c r="DB51" s="464"/>
      <c r="DC51" s="265"/>
      <c r="DD51" s="265"/>
      <c r="DE51" s="400"/>
      <c r="DF51" s="400"/>
      <c r="DG51" s="390"/>
      <c r="DH51" s="400"/>
      <c r="DI51" s="400"/>
      <c r="DJ51" s="390"/>
      <c r="DK51" s="400"/>
      <c r="DL51" s="400"/>
      <c r="DM51" s="390"/>
      <c r="DN51" s="48" t="s">
        <v>208</v>
      </c>
      <c r="DO51" s="48" t="s">
        <v>209</v>
      </c>
      <c r="DP51" s="66" t="s">
        <v>210</v>
      </c>
      <c r="DQ51" s="48" t="s">
        <v>291</v>
      </c>
      <c r="DR51" s="71">
        <v>44927</v>
      </c>
      <c r="DS51" s="492"/>
      <c r="DT51" s="512"/>
      <c r="DU51" s="312"/>
      <c r="DV51" s="329"/>
      <c r="DW51" s="598"/>
      <c r="DX51" s="426"/>
      <c r="DY51" s="426"/>
      <c r="DZ51" s="426"/>
      <c r="EA51" s="426"/>
      <c r="EB51" s="426"/>
      <c r="EC51" s="322"/>
      <c r="ED51" s="322"/>
      <c r="EE51" s="492"/>
      <c r="EF51" s="492"/>
    </row>
    <row r="52" spans="1:136" ht="50.25" customHeight="1" x14ac:dyDescent="0.4">
      <c r="A52" s="633"/>
      <c r="B52" s="633"/>
      <c r="C52" s="633"/>
      <c r="D52" s="610"/>
      <c r="E52" s="436"/>
      <c r="F52" s="610"/>
      <c r="G52" s="436"/>
      <c r="H52" s="436"/>
      <c r="I52" s="436"/>
      <c r="J52" s="436"/>
      <c r="K52" s="569"/>
      <c r="L52" s="610"/>
      <c r="M52" s="610"/>
      <c r="N52" s="626"/>
      <c r="O52" s="610"/>
      <c r="P52" s="436"/>
      <c r="Q52" s="436"/>
      <c r="R52" s="436"/>
      <c r="S52" s="614"/>
      <c r="T52" s="614"/>
      <c r="U52" s="614"/>
      <c r="V52" s="348"/>
      <c r="W52" s="331"/>
      <c r="X52" s="331"/>
      <c r="Y52" s="348"/>
      <c r="Z52" s="331"/>
      <c r="AA52" s="331"/>
      <c r="AB52" s="348"/>
      <c r="AC52" s="331"/>
      <c r="AD52" s="331"/>
      <c r="AE52" s="348"/>
      <c r="AF52" s="331"/>
      <c r="AG52" s="331"/>
      <c r="AH52" s="348"/>
      <c r="AI52" s="331"/>
      <c r="AJ52" s="331"/>
      <c r="AK52" s="436"/>
      <c r="AL52" s="437"/>
      <c r="AM52" s="437"/>
      <c r="AN52" s="569"/>
      <c r="AO52" s="569"/>
      <c r="AP52" s="420"/>
      <c r="AQ52" s="420"/>
      <c r="AR52" s="129" t="s">
        <v>425</v>
      </c>
      <c r="AS52" s="614"/>
      <c r="AT52" s="29"/>
      <c r="AU52" s="134">
        <v>0.13</v>
      </c>
      <c r="AV52" s="123">
        <v>44958</v>
      </c>
      <c r="AW52" s="124">
        <v>45275</v>
      </c>
      <c r="AX52" s="29">
        <f t="shared" si="8"/>
        <v>317</v>
      </c>
      <c r="AY52" s="614"/>
      <c r="AZ52" s="612"/>
      <c r="BA52" s="348"/>
      <c r="BB52" s="342"/>
      <c r="BC52" s="331"/>
      <c r="BD52" s="348"/>
      <c r="BE52" s="342"/>
      <c r="BF52" s="331"/>
      <c r="BG52" s="376"/>
      <c r="BH52" s="342"/>
      <c r="BI52" s="331"/>
      <c r="BJ52" s="376"/>
      <c r="BK52" s="342"/>
      <c r="BL52" s="331"/>
      <c r="BM52" s="376"/>
      <c r="BN52" s="342"/>
      <c r="BO52" s="331"/>
      <c r="BP52" s="420"/>
      <c r="BQ52" s="420"/>
      <c r="BR52" s="420"/>
      <c r="BS52" s="64">
        <v>99691600</v>
      </c>
      <c r="BT52" s="48" t="s">
        <v>224</v>
      </c>
      <c r="BU52" s="420"/>
      <c r="BV52" s="420"/>
      <c r="BW52" s="571"/>
      <c r="BX52" s="571"/>
      <c r="BY52" s="562"/>
      <c r="BZ52" s="573"/>
      <c r="CA52" s="573"/>
      <c r="CB52" s="573"/>
      <c r="CC52" s="449"/>
      <c r="CD52" s="709"/>
      <c r="CE52" s="474"/>
      <c r="CF52" s="474"/>
      <c r="CG52" s="449"/>
      <c r="CH52" s="474"/>
      <c r="CI52" s="474"/>
      <c r="CJ52" s="449"/>
      <c r="CK52" s="474"/>
      <c r="CL52" s="474"/>
      <c r="CM52" s="449"/>
      <c r="CN52" s="446"/>
      <c r="CO52" s="446"/>
      <c r="CP52" s="390"/>
      <c r="CQ52" s="446"/>
      <c r="CR52" s="446"/>
      <c r="CS52" s="390"/>
      <c r="CT52" s="433"/>
      <c r="CU52" s="433"/>
      <c r="CV52" s="390"/>
      <c r="CW52" s="400"/>
      <c r="CX52" s="400"/>
      <c r="CY52" s="390"/>
      <c r="CZ52" s="464"/>
      <c r="DA52" s="464"/>
      <c r="DB52" s="464"/>
      <c r="DC52" s="265"/>
      <c r="DD52" s="265"/>
      <c r="DE52" s="400"/>
      <c r="DF52" s="400"/>
      <c r="DG52" s="390"/>
      <c r="DH52" s="400"/>
      <c r="DI52" s="400"/>
      <c r="DJ52" s="390"/>
      <c r="DK52" s="400"/>
      <c r="DL52" s="400"/>
      <c r="DM52" s="390"/>
      <c r="DN52" s="48" t="s">
        <v>208</v>
      </c>
      <c r="DO52" s="48" t="s">
        <v>209</v>
      </c>
      <c r="DP52" s="66" t="s">
        <v>210</v>
      </c>
      <c r="DQ52" s="48" t="s">
        <v>291</v>
      </c>
      <c r="DR52" s="71">
        <v>44927</v>
      </c>
      <c r="DS52" s="492"/>
      <c r="DT52" s="512"/>
      <c r="DU52" s="312"/>
      <c r="DV52" s="329"/>
      <c r="DW52" s="598"/>
      <c r="DX52" s="426"/>
      <c r="DY52" s="426"/>
      <c r="DZ52" s="426"/>
      <c r="EA52" s="426"/>
      <c r="EB52" s="426"/>
      <c r="EC52" s="322"/>
      <c r="ED52" s="322"/>
      <c r="EE52" s="492"/>
      <c r="EF52" s="492"/>
    </row>
    <row r="53" spans="1:136" ht="409.6" customHeight="1" x14ac:dyDescent="0.4">
      <c r="A53" s="633"/>
      <c r="B53" s="633"/>
      <c r="C53" s="633"/>
      <c r="D53" s="610"/>
      <c r="E53" s="436"/>
      <c r="F53" s="610"/>
      <c r="G53" s="436"/>
      <c r="H53" s="436"/>
      <c r="I53" s="436"/>
      <c r="J53" s="436"/>
      <c r="K53" s="569"/>
      <c r="L53" s="610"/>
      <c r="M53" s="610"/>
      <c r="N53" s="626"/>
      <c r="O53" s="610"/>
      <c r="P53" s="436"/>
      <c r="Q53" s="436"/>
      <c r="R53" s="436"/>
      <c r="S53" s="614"/>
      <c r="T53" s="614"/>
      <c r="U53" s="614"/>
      <c r="V53" s="348"/>
      <c r="W53" s="331"/>
      <c r="X53" s="331"/>
      <c r="Y53" s="348"/>
      <c r="Z53" s="331"/>
      <c r="AA53" s="331"/>
      <c r="AB53" s="348"/>
      <c r="AC53" s="331"/>
      <c r="AD53" s="331"/>
      <c r="AE53" s="348"/>
      <c r="AF53" s="331"/>
      <c r="AG53" s="331"/>
      <c r="AH53" s="348"/>
      <c r="AI53" s="331"/>
      <c r="AJ53" s="331"/>
      <c r="AK53" s="436"/>
      <c r="AL53" s="437"/>
      <c r="AM53" s="437"/>
      <c r="AN53" s="569"/>
      <c r="AO53" s="569"/>
      <c r="AP53" s="420"/>
      <c r="AQ53" s="420"/>
      <c r="AR53" s="129" t="s">
        <v>426</v>
      </c>
      <c r="AS53" s="614"/>
      <c r="AT53" s="29"/>
      <c r="AU53" s="134">
        <v>0.04</v>
      </c>
      <c r="AV53" s="123">
        <v>44958</v>
      </c>
      <c r="AW53" s="124">
        <v>45275</v>
      </c>
      <c r="AX53" s="29">
        <f t="shared" si="8"/>
        <v>317</v>
      </c>
      <c r="AY53" s="614"/>
      <c r="AZ53" s="612"/>
      <c r="BA53" s="348"/>
      <c r="BB53" s="343"/>
      <c r="BC53" s="331"/>
      <c r="BD53" s="348"/>
      <c r="BE53" s="343"/>
      <c r="BF53" s="331"/>
      <c r="BG53" s="376"/>
      <c r="BH53" s="343"/>
      <c r="BI53" s="331"/>
      <c r="BJ53" s="376"/>
      <c r="BK53" s="343"/>
      <c r="BL53" s="331"/>
      <c r="BM53" s="376"/>
      <c r="BN53" s="343"/>
      <c r="BO53" s="331"/>
      <c r="BP53" s="420"/>
      <c r="BQ53" s="420"/>
      <c r="BR53" s="420"/>
      <c r="BS53" s="64">
        <v>20000000</v>
      </c>
      <c r="BT53" s="48" t="s">
        <v>224</v>
      </c>
      <c r="BU53" s="420"/>
      <c r="BV53" s="420"/>
      <c r="BW53" s="571"/>
      <c r="BX53" s="571"/>
      <c r="BY53" s="562"/>
      <c r="BZ53" s="573"/>
      <c r="CA53" s="573"/>
      <c r="CB53" s="573"/>
      <c r="CC53" s="449"/>
      <c r="CD53" s="709"/>
      <c r="CE53" s="474"/>
      <c r="CF53" s="474"/>
      <c r="CG53" s="449"/>
      <c r="CH53" s="474"/>
      <c r="CI53" s="474"/>
      <c r="CJ53" s="449"/>
      <c r="CK53" s="474"/>
      <c r="CL53" s="474"/>
      <c r="CM53" s="449"/>
      <c r="CN53" s="446"/>
      <c r="CO53" s="446"/>
      <c r="CP53" s="390"/>
      <c r="CQ53" s="446"/>
      <c r="CR53" s="446"/>
      <c r="CS53" s="390"/>
      <c r="CT53" s="433"/>
      <c r="CU53" s="433"/>
      <c r="CV53" s="390"/>
      <c r="CW53" s="400"/>
      <c r="CX53" s="400"/>
      <c r="CY53" s="390"/>
      <c r="CZ53" s="464"/>
      <c r="DA53" s="464"/>
      <c r="DB53" s="464"/>
      <c r="DC53" s="265"/>
      <c r="DD53" s="265"/>
      <c r="DE53" s="400"/>
      <c r="DF53" s="400"/>
      <c r="DG53" s="390"/>
      <c r="DH53" s="400"/>
      <c r="DI53" s="400"/>
      <c r="DJ53" s="390"/>
      <c r="DK53" s="400"/>
      <c r="DL53" s="400"/>
      <c r="DM53" s="390"/>
      <c r="DN53" s="48" t="s">
        <v>208</v>
      </c>
      <c r="DO53" s="48" t="s">
        <v>427</v>
      </c>
      <c r="DP53" s="61" t="s">
        <v>428</v>
      </c>
      <c r="DQ53" s="66" t="s">
        <v>291</v>
      </c>
      <c r="DR53" s="71">
        <v>44927</v>
      </c>
      <c r="DS53" s="492"/>
      <c r="DT53" s="512"/>
      <c r="DU53" s="312"/>
      <c r="DV53" s="330"/>
      <c r="DW53" s="599"/>
      <c r="DX53" s="427"/>
      <c r="DY53" s="427"/>
      <c r="DZ53" s="427"/>
      <c r="EA53" s="427"/>
      <c r="EB53" s="427"/>
      <c r="EC53" s="323"/>
      <c r="ED53" s="323"/>
      <c r="EE53" s="492"/>
      <c r="EF53" s="492"/>
    </row>
    <row r="54" spans="1:136" ht="50.25" customHeight="1" x14ac:dyDescent="0.4">
      <c r="A54" s="633"/>
      <c r="B54" s="633"/>
      <c r="C54" s="633"/>
      <c r="D54" s="610"/>
      <c r="E54" s="436"/>
      <c r="F54" s="610"/>
      <c r="G54" s="436"/>
      <c r="H54" s="436"/>
      <c r="I54" s="436"/>
      <c r="J54" s="436"/>
      <c r="K54" s="569"/>
      <c r="L54" s="436" t="s">
        <v>429</v>
      </c>
      <c r="M54" s="436" t="s">
        <v>189</v>
      </c>
      <c r="N54" s="612">
        <v>14300</v>
      </c>
      <c r="O54" s="436" t="s">
        <v>430</v>
      </c>
      <c r="P54" s="436"/>
      <c r="Q54" s="436"/>
      <c r="R54" s="436"/>
      <c r="S54" s="612">
        <v>19448</v>
      </c>
      <c r="T54" s="612">
        <v>3750</v>
      </c>
      <c r="U54" s="623">
        <v>53618</v>
      </c>
      <c r="V54" s="348">
        <f>416+2609+1118+1782+4404+2280+3204</f>
        <v>15813</v>
      </c>
      <c r="W54" s="332">
        <v>1</v>
      </c>
      <c r="X54" s="332">
        <v>1</v>
      </c>
      <c r="Y54" s="348">
        <f>416+2609+1118+1782+4404+2280+3204+4496</f>
        <v>20309</v>
      </c>
      <c r="Z54" s="332">
        <v>1</v>
      </c>
      <c r="AA54" s="332">
        <v>1</v>
      </c>
      <c r="AB54" s="348">
        <f>416+2609+1118+1782+4404+2280+3204+4496+3542</f>
        <v>23851</v>
      </c>
      <c r="AC54" s="332">
        <v>1</v>
      </c>
      <c r="AD54" s="332">
        <v>1</v>
      </c>
      <c r="AE54" s="348">
        <f>416+2609+1118+1782+4404+2280+3204+4496+3542+2000</f>
        <v>25851</v>
      </c>
      <c r="AF54" s="332">
        <v>1</v>
      </c>
      <c r="AG54" s="332">
        <v>1</v>
      </c>
      <c r="AH54" s="348">
        <f>416+2609+1118+1782+4404+2280+3204+4496+3542+2000+3979</f>
        <v>29830</v>
      </c>
      <c r="AI54" s="332">
        <v>1</v>
      </c>
      <c r="AJ54" s="332">
        <v>1</v>
      </c>
      <c r="AK54" s="436"/>
      <c r="AL54" s="437"/>
      <c r="AM54" s="437"/>
      <c r="AN54" s="569"/>
      <c r="AO54" s="569"/>
      <c r="AP54" s="420"/>
      <c r="AQ54" s="420"/>
      <c r="AR54" s="68" t="s">
        <v>431</v>
      </c>
      <c r="AS54" s="436"/>
      <c r="AT54" s="30"/>
      <c r="AU54" s="134">
        <v>0.05</v>
      </c>
      <c r="AV54" s="123">
        <v>44958</v>
      </c>
      <c r="AW54" s="124">
        <v>45275</v>
      </c>
      <c r="AX54" s="29">
        <f t="shared" si="8"/>
        <v>317</v>
      </c>
      <c r="AY54" s="436">
        <v>3750</v>
      </c>
      <c r="AZ54" s="615">
        <v>416</v>
      </c>
      <c r="BA54" s="348">
        <f>416+2609+1118+1782+4404+2280+3204</f>
        <v>15813</v>
      </c>
      <c r="BB54" s="360">
        <v>1</v>
      </c>
      <c r="BC54" s="331"/>
      <c r="BD54" s="348">
        <f>416+2609+1118+1782+4404+2280+3204+4496</f>
        <v>20309</v>
      </c>
      <c r="BE54" s="360">
        <v>1</v>
      </c>
      <c r="BF54" s="331"/>
      <c r="BG54" s="348">
        <f>416+2609+1118+1782+4404+2280+3204+4496+3542</f>
        <v>23851</v>
      </c>
      <c r="BH54" s="360">
        <v>1</v>
      </c>
      <c r="BI54" s="331"/>
      <c r="BJ54" s="348">
        <f>416+2609+1118+1782+4404+2280+3204+4496+3542+2000</f>
        <v>25851</v>
      </c>
      <c r="BK54" s="360">
        <v>1</v>
      </c>
      <c r="BL54" s="331"/>
      <c r="BM54" s="348">
        <f>416+2609+1118+1782+4404+2280+3204+4496+3542+2000+3979</f>
        <v>29830</v>
      </c>
      <c r="BN54" s="360">
        <v>1</v>
      </c>
      <c r="BO54" s="331"/>
      <c r="BP54" s="420"/>
      <c r="BQ54" s="420"/>
      <c r="BR54" s="420"/>
      <c r="BS54" s="64">
        <v>143915080</v>
      </c>
      <c r="BT54" s="48" t="s">
        <v>224</v>
      </c>
      <c r="BU54" s="420"/>
      <c r="BV54" s="420"/>
      <c r="BW54" s="571"/>
      <c r="BX54" s="571"/>
      <c r="BY54" s="562"/>
      <c r="BZ54" s="573"/>
      <c r="CA54" s="573"/>
      <c r="CB54" s="573"/>
      <c r="CC54" s="449"/>
      <c r="CD54" s="709"/>
      <c r="CE54" s="474"/>
      <c r="CF54" s="474"/>
      <c r="CG54" s="449"/>
      <c r="CH54" s="474"/>
      <c r="CI54" s="474"/>
      <c r="CJ54" s="449"/>
      <c r="CK54" s="474"/>
      <c r="CL54" s="474"/>
      <c r="CM54" s="449"/>
      <c r="CN54" s="446"/>
      <c r="CO54" s="446"/>
      <c r="CP54" s="390"/>
      <c r="CQ54" s="446"/>
      <c r="CR54" s="446"/>
      <c r="CS54" s="390"/>
      <c r="CT54" s="433"/>
      <c r="CU54" s="433"/>
      <c r="CV54" s="390"/>
      <c r="CW54" s="400"/>
      <c r="CX54" s="400"/>
      <c r="CY54" s="390"/>
      <c r="CZ54" s="464"/>
      <c r="DA54" s="464"/>
      <c r="DB54" s="464"/>
      <c r="DC54" s="265"/>
      <c r="DD54" s="265"/>
      <c r="DE54" s="400"/>
      <c r="DF54" s="400"/>
      <c r="DG54" s="390"/>
      <c r="DH54" s="400"/>
      <c r="DI54" s="400"/>
      <c r="DJ54" s="390"/>
      <c r="DK54" s="400"/>
      <c r="DL54" s="400"/>
      <c r="DM54" s="390"/>
      <c r="DN54" s="48" t="s">
        <v>208</v>
      </c>
      <c r="DO54" s="48" t="s">
        <v>432</v>
      </c>
      <c r="DP54" s="66" t="s">
        <v>433</v>
      </c>
      <c r="DQ54" s="48" t="s">
        <v>291</v>
      </c>
      <c r="DR54" s="71">
        <v>44927</v>
      </c>
      <c r="DS54" s="492"/>
      <c r="DT54" s="512"/>
      <c r="DU54" s="312"/>
      <c r="DV54" s="328" t="s">
        <v>434</v>
      </c>
      <c r="DW54" s="328" t="s">
        <v>435</v>
      </c>
      <c r="DX54" s="310" t="s">
        <v>436</v>
      </c>
      <c r="DY54" s="310" t="s">
        <v>437</v>
      </c>
      <c r="DZ54" s="310" t="s">
        <v>438</v>
      </c>
      <c r="EA54" s="310" t="s">
        <v>439</v>
      </c>
      <c r="EB54" s="310" t="s">
        <v>440</v>
      </c>
      <c r="EC54" s="310" t="s">
        <v>751</v>
      </c>
      <c r="ED54" s="310" t="s">
        <v>782</v>
      </c>
      <c r="EE54" s="492"/>
      <c r="EF54" s="492"/>
    </row>
    <row r="55" spans="1:136" ht="50.25" customHeight="1" x14ac:dyDescent="0.4">
      <c r="A55" s="633"/>
      <c r="B55" s="633"/>
      <c r="C55" s="633"/>
      <c r="D55" s="610"/>
      <c r="E55" s="436"/>
      <c r="F55" s="610"/>
      <c r="G55" s="436"/>
      <c r="H55" s="436"/>
      <c r="I55" s="436"/>
      <c r="J55" s="436"/>
      <c r="K55" s="569"/>
      <c r="L55" s="436"/>
      <c r="M55" s="436"/>
      <c r="N55" s="612"/>
      <c r="O55" s="436"/>
      <c r="P55" s="436"/>
      <c r="Q55" s="436" t="s">
        <v>193</v>
      </c>
      <c r="R55" s="436" t="s">
        <v>441</v>
      </c>
      <c r="S55" s="612"/>
      <c r="T55" s="612"/>
      <c r="U55" s="623"/>
      <c r="V55" s="348"/>
      <c r="W55" s="332"/>
      <c r="X55" s="332"/>
      <c r="Y55" s="348"/>
      <c r="Z55" s="332"/>
      <c r="AA55" s="332"/>
      <c r="AB55" s="348"/>
      <c r="AC55" s="332"/>
      <c r="AD55" s="332"/>
      <c r="AE55" s="348"/>
      <c r="AF55" s="332"/>
      <c r="AG55" s="332"/>
      <c r="AH55" s="348"/>
      <c r="AI55" s="332"/>
      <c r="AJ55" s="332"/>
      <c r="AK55" s="436"/>
      <c r="AL55" s="437"/>
      <c r="AM55" s="437"/>
      <c r="AN55" s="569"/>
      <c r="AO55" s="569"/>
      <c r="AP55" s="420"/>
      <c r="AQ55" s="420"/>
      <c r="AR55" s="131" t="s">
        <v>442</v>
      </c>
      <c r="AS55" s="436"/>
      <c r="AT55" s="30"/>
      <c r="AU55" s="134">
        <v>0.04</v>
      </c>
      <c r="AV55" s="123">
        <v>44958</v>
      </c>
      <c r="AW55" s="124">
        <v>45275</v>
      </c>
      <c r="AX55" s="29">
        <f t="shared" si="8"/>
        <v>317</v>
      </c>
      <c r="AY55" s="436"/>
      <c r="AZ55" s="615"/>
      <c r="BA55" s="348"/>
      <c r="BB55" s="361"/>
      <c r="BC55" s="331"/>
      <c r="BD55" s="348"/>
      <c r="BE55" s="361"/>
      <c r="BF55" s="331"/>
      <c r="BG55" s="348"/>
      <c r="BH55" s="361"/>
      <c r="BI55" s="331"/>
      <c r="BJ55" s="348"/>
      <c r="BK55" s="361"/>
      <c r="BL55" s="331"/>
      <c r="BM55" s="348"/>
      <c r="BN55" s="361"/>
      <c r="BO55" s="331"/>
      <c r="BP55" s="420"/>
      <c r="BQ55" s="420"/>
      <c r="BR55" s="420"/>
      <c r="BS55" s="65">
        <v>264846400</v>
      </c>
      <c r="BT55" s="48" t="s">
        <v>224</v>
      </c>
      <c r="BU55" s="420"/>
      <c r="BV55" s="420"/>
      <c r="BW55" s="571"/>
      <c r="BX55" s="571"/>
      <c r="BY55" s="562"/>
      <c r="BZ55" s="573"/>
      <c r="CA55" s="573"/>
      <c r="CB55" s="573"/>
      <c r="CC55" s="449"/>
      <c r="CD55" s="709"/>
      <c r="CE55" s="474"/>
      <c r="CF55" s="474"/>
      <c r="CG55" s="449"/>
      <c r="CH55" s="474"/>
      <c r="CI55" s="474"/>
      <c r="CJ55" s="449"/>
      <c r="CK55" s="474"/>
      <c r="CL55" s="474"/>
      <c r="CM55" s="449"/>
      <c r="CN55" s="446"/>
      <c r="CO55" s="446"/>
      <c r="CP55" s="390"/>
      <c r="CQ55" s="446"/>
      <c r="CR55" s="446"/>
      <c r="CS55" s="390"/>
      <c r="CT55" s="433"/>
      <c r="CU55" s="433"/>
      <c r="CV55" s="390"/>
      <c r="CW55" s="400"/>
      <c r="CX55" s="400"/>
      <c r="CY55" s="390"/>
      <c r="CZ55" s="464"/>
      <c r="DA55" s="464"/>
      <c r="DB55" s="464"/>
      <c r="DC55" s="265"/>
      <c r="DD55" s="265"/>
      <c r="DE55" s="400"/>
      <c r="DF55" s="400"/>
      <c r="DG55" s="390"/>
      <c r="DH55" s="400"/>
      <c r="DI55" s="400"/>
      <c r="DJ55" s="390"/>
      <c r="DK55" s="400"/>
      <c r="DL55" s="400"/>
      <c r="DM55" s="390"/>
      <c r="DN55" s="48" t="s">
        <v>208</v>
      </c>
      <c r="DO55" s="48" t="s">
        <v>209</v>
      </c>
      <c r="DP55" s="66" t="s">
        <v>210</v>
      </c>
      <c r="DQ55" s="48" t="s">
        <v>291</v>
      </c>
      <c r="DR55" s="71">
        <v>44927</v>
      </c>
      <c r="DS55" s="492"/>
      <c r="DT55" s="513"/>
      <c r="DU55" s="311"/>
      <c r="DV55" s="329"/>
      <c r="DW55" s="329"/>
      <c r="DX55" s="312"/>
      <c r="DY55" s="312"/>
      <c r="DZ55" s="312"/>
      <c r="EA55" s="312"/>
      <c r="EB55" s="312"/>
      <c r="EC55" s="312"/>
      <c r="ED55" s="312"/>
      <c r="EE55" s="492"/>
      <c r="EF55" s="492"/>
    </row>
    <row r="56" spans="1:136" ht="409.6" customHeight="1" x14ac:dyDescent="0.4">
      <c r="A56" s="633"/>
      <c r="B56" s="633"/>
      <c r="C56" s="633"/>
      <c r="D56" s="610"/>
      <c r="E56" s="436"/>
      <c r="F56" s="610"/>
      <c r="G56" s="436"/>
      <c r="H56" s="436"/>
      <c r="I56" s="436"/>
      <c r="J56" s="436"/>
      <c r="K56" s="569"/>
      <c r="L56" s="436"/>
      <c r="M56" s="436"/>
      <c r="N56" s="612"/>
      <c r="O56" s="436"/>
      <c r="P56" s="436"/>
      <c r="Q56" s="436"/>
      <c r="R56" s="436"/>
      <c r="S56" s="612"/>
      <c r="T56" s="612"/>
      <c r="U56" s="623"/>
      <c r="V56" s="348"/>
      <c r="W56" s="332"/>
      <c r="X56" s="332"/>
      <c r="Y56" s="348"/>
      <c r="Z56" s="332"/>
      <c r="AA56" s="332"/>
      <c r="AB56" s="348"/>
      <c r="AC56" s="332"/>
      <c r="AD56" s="332"/>
      <c r="AE56" s="348"/>
      <c r="AF56" s="332"/>
      <c r="AG56" s="332"/>
      <c r="AH56" s="348"/>
      <c r="AI56" s="332"/>
      <c r="AJ56" s="332"/>
      <c r="AK56" s="436"/>
      <c r="AL56" s="437"/>
      <c r="AM56" s="437"/>
      <c r="AN56" s="569"/>
      <c r="AO56" s="569"/>
      <c r="AP56" s="420"/>
      <c r="AQ56" s="420"/>
      <c r="AR56" s="131" t="s">
        <v>443</v>
      </c>
      <c r="AS56" s="436"/>
      <c r="AT56" s="30"/>
      <c r="AU56" s="134">
        <v>0.04</v>
      </c>
      <c r="AV56" s="123">
        <v>44958</v>
      </c>
      <c r="AW56" s="124">
        <v>45275</v>
      </c>
      <c r="AX56" s="29">
        <f t="shared" si="8"/>
        <v>317</v>
      </c>
      <c r="AY56" s="436"/>
      <c r="AZ56" s="615"/>
      <c r="BA56" s="348"/>
      <c r="BB56" s="362"/>
      <c r="BC56" s="331"/>
      <c r="BD56" s="348"/>
      <c r="BE56" s="362"/>
      <c r="BF56" s="331"/>
      <c r="BG56" s="348"/>
      <c r="BH56" s="362"/>
      <c r="BI56" s="331"/>
      <c r="BJ56" s="348"/>
      <c r="BK56" s="362"/>
      <c r="BL56" s="331"/>
      <c r="BM56" s="348"/>
      <c r="BN56" s="362"/>
      <c r="BO56" s="331"/>
      <c r="BP56" s="420"/>
      <c r="BQ56" s="420"/>
      <c r="BR56" s="420"/>
      <c r="BS56" s="65">
        <v>247904548</v>
      </c>
      <c r="BT56" s="48" t="s">
        <v>224</v>
      </c>
      <c r="BU56" s="420"/>
      <c r="BV56" s="420"/>
      <c r="BW56" s="571"/>
      <c r="BX56" s="571"/>
      <c r="BY56" s="562"/>
      <c r="BZ56" s="573"/>
      <c r="CA56" s="573"/>
      <c r="CB56" s="573"/>
      <c r="CC56" s="449"/>
      <c r="CD56" s="709"/>
      <c r="CE56" s="474"/>
      <c r="CF56" s="474"/>
      <c r="CG56" s="449"/>
      <c r="CH56" s="474"/>
      <c r="CI56" s="474"/>
      <c r="CJ56" s="449"/>
      <c r="CK56" s="474"/>
      <c r="CL56" s="474"/>
      <c r="CM56" s="449"/>
      <c r="CN56" s="446"/>
      <c r="CO56" s="446"/>
      <c r="CP56" s="390"/>
      <c r="CQ56" s="446"/>
      <c r="CR56" s="446"/>
      <c r="CS56" s="390"/>
      <c r="CT56" s="433"/>
      <c r="CU56" s="433"/>
      <c r="CV56" s="390"/>
      <c r="CW56" s="400"/>
      <c r="CX56" s="400"/>
      <c r="CY56" s="390"/>
      <c r="CZ56" s="464"/>
      <c r="DA56" s="464"/>
      <c r="DB56" s="464"/>
      <c r="DC56" s="265"/>
      <c r="DD56" s="265"/>
      <c r="DE56" s="400"/>
      <c r="DF56" s="400"/>
      <c r="DG56" s="390"/>
      <c r="DH56" s="400"/>
      <c r="DI56" s="400"/>
      <c r="DJ56" s="390"/>
      <c r="DK56" s="400"/>
      <c r="DL56" s="400"/>
      <c r="DM56" s="390"/>
      <c r="DN56" s="48" t="s">
        <v>208</v>
      </c>
      <c r="DO56" s="48" t="s">
        <v>209</v>
      </c>
      <c r="DP56" s="66" t="s">
        <v>210</v>
      </c>
      <c r="DQ56" s="48" t="s">
        <v>291</v>
      </c>
      <c r="DR56" s="71">
        <v>44927</v>
      </c>
      <c r="DS56" s="492"/>
      <c r="DT56" s="68" t="s">
        <v>444</v>
      </c>
      <c r="DU56" s="82" t="s">
        <v>445</v>
      </c>
      <c r="DV56" s="330"/>
      <c r="DW56" s="330"/>
      <c r="DX56" s="311"/>
      <c r="DY56" s="311"/>
      <c r="DZ56" s="311"/>
      <c r="EA56" s="311"/>
      <c r="EB56" s="311"/>
      <c r="EC56" s="311"/>
      <c r="ED56" s="311"/>
      <c r="EE56" s="492"/>
      <c r="EF56" s="492"/>
    </row>
    <row r="57" spans="1:136" ht="50.25" customHeight="1" x14ac:dyDescent="0.4">
      <c r="A57" s="633"/>
      <c r="B57" s="633"/>
      <c r="C57" s="633"/>
      <c r="D57" s="610"/>
      <c r="E57" s="436"/>
      <c r="F57" s="610"/>
      <c r="G57" s="436"/>
      <c r="H57" s="436"/>
      <c r="I57" s="436"/>
      <c r="J57" s="436"/>
      <c r="K57" s="569"/>
      <c r="L57" s="568" t="s">
        <v>446</v>
      </c>
      <c r="M57" s="568" t="s">
        <v>189</v>
      </c>
      <c r="N57" s="625">
        <v>28</v>
      </c>
      <c r="O57" s="610" t="s">
        <v>447</v>
      </c>
      <c r="P57" s="436"/>
      <c r="Q57" s="436" t="s">
        <v>193</v>
      </c>
      <c r="R57" s="436"/>
      <c r="S57" s="608">
        <v>18</v>
      </c>
      <c r="T57" s="608">
        <f>+T54/750</f>
        <v>5</v>
      </c>
      <c r="U57" s="608">
        <v>30</v>
      </c>
      <c r="V57" s="351">
        <f>1+2+1</f>
        <v>4</v>
      </c>
      <c r="W57" s="338">
        <f>+V57/T57</f>
        <v>0.8</v>
      </c>
      <c r="X57" s="338">
        <v>1</v>
      </c>
      <c r="Y57" s="351">
        <f>1+2+1</f>
        <v>4</v>
      </c>
      <c r="Z57" s="338">
        <f>Y57/T57</f>
        <v>0.8</v>
      </c>
      <c r="AA57" s="338">
        <v>1</v>
      </c>
      <c r="AB57" s="351">
        <f>1+2+1+2</f>
        <v>6</v>
      </c>
      <c r="AC57" s="338">
        <v>1</v>
      </c>
      <c r="AD57" s="338">
        <v>1</v>
      </c>
      <c r="AE57" s="351">
        <f>1+2+1+2+2</f>
        <v>8</v>
      </c>
      <c r="AF57" s="338">
        <v>1</v>
      </c>
      <c r="AG57" s="338">
        <v>1</v>
      </c>
      <c r="AH57" s="351">
        <f>1+2+1+2+2+2</f>
        <v>10</v>
      </c>
      <c r="AI57" s="338">
        <v>1</v>
      </c>
      <c r="AJ57" s="338">
        <v>1</v>
      </c>
      <c r="AK57" s="436"/>
      <c r="AL57" s="437"/>
      <c r="AM57" s="437"/>
      <c r="AN57" s="569"/>
      <c r="AO57" s="569"/>
      <c r="AP57" s="420"/>
      <c r="AQ57" s="420"/>
      <c r="AR57" s="631" t="s">
        <v>448</v>
      </c>
      <c r="AS57" s="436"/>
      <c r="AT57" s="30"/>
      <c r="AU57" s="570">
        <v>0.1</v>
      </c>
      <c r="AV57" s="123">
        <v>44958</v>
      </c>
      <c r="AW57" s="124">
        <v>45275</v>
      </c>
      <c r="AX57" s="29">
        <f t="shared" si="8"/>
        <v>317</v>
      </c>
      <c r="AY57" s="436"/>
      <c r="AZ57" s="615"/>
      <c r="BA57" s="367">
        <f>1+2+1</f>
        <v>4</v>
      </c>
      <c r="BB57" s="363">
        <f>+BA57/T57</f>
        <v>0.8</v>
      </c>
      <c r="BC57" s="331"/>
      <c r="BD57" s="367">
        <f>1+2+1</f>
        <v>4</v>
      </c>
      <c r="BE57" s="363">
        <f>BD57/T57</f>
        <v>0.8</v>
      </c>
      <c r="BF57" s="331"/>
      <c r="BG57" s="367">
        <f>1+2+1+2</f>
        <v>6</v>
      </c>
      <c r="BH57" s="363">
        <v>1</v>
      </c>
      <c r="BI57" s="331"/>
      <c r="BJ57" s="367">
        <f>1+2+1+2+2</f>
        <v>8</v>
      </c>
      <c r="BK57" s="363">
        <v>1</v>
      </c>
      <c r="BL57" s="331"/>
      <c r="BM57" s="367">
        <f>1+2+1+2+2+2</f>
        <v>10</v>
      </c>
      <c r="BN57" s="363">
        <v>1</v>
      </c>
      <c r="BO57" s="331"/>
      <c r="BP57" s="420"/>
      <c r="BQ57" s="420"/>
      <c r="BR57" s="420"/>
      <c r="BS57" s="65">
        <v>563478742</v>
      </c>
      <c r="BT57" s="48" t="s">
        <v>224</v>
      </c>
      <c r="BU57" s="420"/>
      <c r="BV57" s="420"/>
      <c r="BW57" s="571"/>
      <c r="BX57" s="571"/>
      <c r="BY57" s="562"/>
      <c r="BZ57" s="573"/>
      <c r="CA57" s="573"/>
      <c r="CB57" s="573"/>
      <c r="CC57" s="449"/>
      <c r="CD57" s="709"/>
      <c r="CE57" s="474"/>
      <c r="CF57" s="474"/>
      <c r="CG57" s="449"/>
      <c r="CH57" s="474"/>
      <c r="CI57" s="474"/>
      <c r="CJ57" s="449"/>
      <c r="CK57" s="474"/>
      <c r="CL57" s="474"/>
      <c r="CM57" s="449"/>
      <c r="CN57" s="446"/>
      <c r="CO57" s="446"/>
      <c r="CP57" s="390"/>
      <c r="CQ57" s="446"/>
      <c r="CR57" s="446"/>
      <c r="CS57" s="390"/>
      <c r="CT57" s="433"/>
      <c r="CU57" s="433"/>
      <c r="CV57" s="390"/>
      <c r="CW57" s="400"/>
      <c r="CX57" s="400"/>
      <c r="CY57" s="390"/>
      <c r="CZ57" s="464"/>
      <c r="DA57" s="464"/>
      <c r="DB57" s="464"/>
      <c r="DC57" s="265"/>
      <c r="DD57" s="265"/>
      <c r="DE57" s="400"/>
      <c r="DF57" s="400"/>
      <c r="DG57" s="390"/>
      <c r="DH57" s="400"/>
      <c r="DI57" s="400"/>
      <c r="DJ57" s="390"/>
      <c r="DK57" s="400"/>
      <c r="DL57" s="400"/>
      <c r="DM57" s="390"/>
      <c r="DN57" s="48" t="s">
        <v>208</v>
      </c>
      <c r="DO57" s="527" t="s">
        <v>449</v>
      </c>
      <c r="DP57" s="527" t="s">
        <v>450</v>
      </c>
      <c r="DQ57" s="527" t="s">
        <v>291</v>
      </c>
      <c r="DR57" s="514">
        <v>44927</v>
      </c>
      <c r="DS57" s="492"/>
      <c r="DT57" s="315" t="s">
        <v>444</v>
      </c>
      <c r="DU57" s="310" t="s">
        <v>451</v>
      </c>
      <c r="DV57" s="328" t="s">
        <v>452</v>
      </c>
      <c r="DW57" s="328" t="s">
        <v>435</v>
      </c>
      <c r="DX57" s="328" t="s">
        <v>453</v>
      </c>
      <c r="DY57" s="310" t="s">
        <v>454</v>
      </c>
      <c r="DZ57" s="310" t="s">
        <v>455</v>
      </c>
      <c r="EA57" s="310" t="s">
        <v>456</v>
      </c>
      <c r="EB57" s="310" t="s">
        <v>440</v>
      </c>
      <c r="EC57" s="310" t="s">
        <v>751</v>
      </c>
      <c r="ED57" s="310" t="s">
        <v>784</v>
      </c>
      <c r="EE57" s="492"/>
      <c r="EF57" s="492"/>
    </row>
    <row r="58" spans="1:136" ht="84.75" customHeight="1" x14ac:dyDescent="0.4">
      <c r="A58" s="633"/>
      <c r="B58" s="633"/>
      <c r="C58" s="633"/>
      <c r="D58" s="610"/>
      <c r="E58" s="436"/>
      <c r="F58" s="610"/>
      <c r="G58" s="436"/>
      <c r="H58" s="436"/>
      <c r="I58" s="436"/>
      <c r="J58" s="436"/>
      <c r="K58" s="569"/>
      <c r="L58" s="568"/>
      <c r="M58" s="568"/>
      <c r="N58" s="625"/>
      <c r="O58" s="610"/>
      <c r="P58" s="436"/>
      <c r="Q58" s="436"/>
      <c r="R58" s="436"/>
      <c r="S58" s="608"/>
      <c r="T58" s="608"/>
      <c r="U58" s="608"/>
      <c r="V58" s="351"/>
      <c r="W58" s="338"/>
      <c r="X58" s="338"/>
      <c r="Y58" s="351"/>
      <c r="Z58" s="338"/>
      <c r="AA58" s="338"/>
      <c r="AB58" s="351"/>
      <c r="AC58" s="338"/>
      <c r="AD58" s="338"/>
      <c r="AE58" s="351"/>
      <c r="AF58" s="338"/>
      <c r="AG58" s="338"/>
      <c r="AH58" s="351"/>
      <c r="AI58" s="338"/>
      <c r="AJ58" s="338"/>
      <c r="AK58" s="436"/>
      <c r="AL58" s="437"/>
      <c r="AM58" s="437"/>
      <c r="AN58" s="569"/>
      <c r="AO58" s="569"/>
      <c r="AP58" s="420"/>
      <c r="AQ58" s="420"/>
      <c r="AR58" s="631"/>
      <c r="AS58" s="436"/>
      <c r="AT58" s="30"/>
      <c r="AU58" s="570"/>
      <c r="AV58" s="123">
        <v>44958</v>
      </c>
      <c r="AW58" s="124">
        <v>45275</v>
      </c>
      <c r="AX58" s="29">
        <f t="shared" si="8"/>
        <v>317</v>
      </c>
      <c r="AY58" s="436"/>
      <c r="AZ58" s="615"/>
      <c r="BA58" s="369"/>
      <c r="BB58" s="364"/>
      <c r="BC58" s="331"/>
      <c r="BD58" s="369"/>
      <c r="BE58" s="364"/>
      <c r="BF58" s="331"/>
      <c r="BG58" s="369"/>
      <c r="BH58" s="364"/>
      <c r="BI58" s="331"/>
      <c r="BJ58" s="369"/>
      <c r="BK58" s="364"/>
      <c r="BL58" s="331"/>
      <c r="BM58" s="369"/>
      <c r="BN58" s="364"/>
      <c r="BO58" s="331"/>
      <c r="BP58" s="420"/>
      <c r="BQ58" s="420"/>
      <c r="BR58" s="420"/>
      <c r="BS58" s="64">
        <v>342991510</v>
      </c>
      <c r="BT58" s="48" t="s">
        <v>205</v>
      </c>
      <c r="BU58" s="420"/>
      <c r="BV58" s="420"/>
      <c r="BW58" s="571"/>
      <c r="BX58" s="571"/>
      <c r="BY58" s="562"/>
      <c r="BZ58" s="574"/>
      <c r="CA58" s="574"/>
      <c r="CB58" s="574"/>
      <c r="CC58" s="450"/>
      <c r="CD58" s="710"/>
      <c r="CE58" s="475"/>
      <c r="CF58" s="475"/>
      <c r="CG58" s="450"/>
      <c r="CH58" s="475"/>
      <c r="CI58" s="475"/>
      <c r="CJ58" s="450"/>
      <c r="CK58" s="475"/>
      <c r="CL58" s="475"/>
      <c r="CM58" s="450"/>
      <c r="CN58" s="447"/>
      <c r="CO58" s="447"/>
      <c r="CP58" s="391"/>
      <c r="CQ58" s="447"/>
      <c r="CR58" s="447"/>
      <c r="CS58" s="391"/>
      <c r="CT58" s="434"/>
      <c r="CU58" s="434"/>
      <c r="CV58" s="391"/>
      <c r="CW58" s="401"/>
      <c r="CX58" s="401"/>
      <c r="CY58" s="391"/>
      <c r="CZ58" s="465"/>
      <c r="DA58" s="465"/>
      <c r="DB58" s="465"/>
      <c r="DC58" s="266"/>
      <c r="DD58" s="266"/>
      <c r="DE58" s="401"/>
      <c r="DF58" s="401"/>
      <c r="DG58" s="391"/>
      <c r="DH58" s="401"/>
      <c r="DI58" s="401"/>
      <c r="DJ58" s="391"/>
      <c r="DK58" s="401"/>
      <c r="DL58" s="401"/>
      <c r="DM58" s="391"/>
      <c r="DN58" s="48" t="s">
        <v>208</v>
      </c>
      <c r="DO58" s="528"/>
      <c r="DP58" s="528"/>
      <c r="DQ58" s="528"/>
      <c r="DR58" s="515"/>
      <c r="DS58" s="493"/>
      <c r="DT58" s="317"/>
      <c r="DU58" s="311"/>
      <c r="DV58" s="330"/>
      <c r="DW58" s="330"/>
      <c r="DX58" s="330"/>
      <c r="DY58" s="311"/>
      <c r="DZ58" s="311"/>
      <c r="EA58" s="311"/>
      <c r="EB58" s="311"/>
      <c r="EC58" s="311"/>
      <c r="ED58" s="311"/>
      <c r="EE58" s="493"/>
      <c r="EF58" s="493"/>
    </row>
    <row r="59" spans="1:136" s="100" customFormat="1" ht="50.25" customHeight="1" x14ac:dyDescent="0.5">
      <c r="A59" s="633"/>
      <c r="B59" s="633"/>
      <c r="C59" s="633"/>
      <c r="D59" s="610"/>
      <c r="E59" s="436"/>
      <c r="F59" s="610"/>
      <c r="G59" s="436"/>
      <c r="H59" s="436"/>
      <c r="I59" s="436"/>
      <c r="J59" s="436"/>
      <c r="K59" s="637" t="s">
        <v>281</v>
      </c>
      <c r="L59" s="638"/>
      <c r="M59" s="638"/>
      <c r="N59" s="638"/>
      <c r="O59" s="638"/>
      <c r="P59" s="638"/>
      <c r="Q59" s="638"/>
      <c r="R59" s="638"/>
      <c r="S59" s="638"/>
      <c r="T59" s="638"/>
      <c r="U59" s="638"/>
      <c r="V59" s="169"/>
      <c r="W59" s="78">
        <f>+AVERAGE(W47:W58)</f>
        <v>0.93333333333333324</v>
      </c>
      <c r="X59" s="78">
        <f>+AVERAGE(X47:X58)</f>
        <v>1</v>
      </c>
      <c r="Y59" s="169"/>
      <c r="Z59" s="78">
        <f>+AVERAGE(Z47:Z58)</f>
        <v>0.93333333333333324</v>
      </c>
      <c r="AA59" s="78">
        <f>+AVERAGE(AA47:AA58)</f>
        <v>1</v>
      </c>
      <c r="AB59" s="169"/>
      <c r="AC59" s="78">
        <f>+AVERAGE(AC47:AC58)</f>
        <v>1</v>
      </c>
      <c r="AD59" s="78">
        <f>+AVERAGE(AD47:AD58)</f>
        <v>1</v>
      </c>
      <c r="AE59" s="169"/>
      <c r="AF59" s="78">
        <f>+AVERAGE(AF47:AF58)</f>
        <v>1</v>
      </c>
      <c r="AG59" s="78">
        <f>+AVERAGE(AG47:AG58)</f>
        <v>1</v>
      </c>
      <c r="AH59" s="169"/>
      <c r="AI59" s="78">
        <f>+AVERAGE(AI47:AI58)</f>
        <v>1</v>
      </c>
      <c r="AJ59" s="78">
        <f>+AVERAGE(AJ47:AJ58)</f>
        <v>1</v>
      </c>
      <c r="AK59" s="102"/>
      <c r="AL59" s="103"/>
      <c r="AM59" s="103"/>
      <c r="AN59" s="113"/>
      <c r="AO59" s="113"/>
      <c r="AP59" s="105"/>
      <c r="AQ59" s="106" t="s">
        <v>282</v>
      </c>
      <c r="AR59" s="130"/>
      <c r="AS59" s="106"/>
      <c r="AT59" s="106"/>
      <c r="AU59" s="244"/>
      <c r="AV59" s="125"/>
      <c r="AW59" s="126"/>
      <c r="AX59" s="107"/>
      <c r="AY59" s="98"/>
      <c r="AZ59" s="98"/>
      <c r="BA59" s="169"/>
      <c r="BB59" s="78">
        <f>+AVERAGE(BB47:BB58)</f>
        <v>0.93333333333333324</v>
      </c>
      <c r="BC59" s="78">
        <f>+AVERAGE(BC47:BC58)</f>
        <v>0.93333333333333324</v>
      </c>
      <c r="BD59" s="169"/>
      <c r="BE59" s="78">
        <f>+AVERAGE(BE47:BE58)</f>
        <v>0.93333333333333324</v>
      </c>
      <c r="BF59" s="78">
        <f>+AVERAGE(BE47:BE58)</f>
        <v>0.93333333333333324</v>
      </c>
      <c r="BG59" s="169"/>
      <c r="BH59" s="78">
        <f>+AVERAGE(BH47:BH58)</f>
        <v>1</v>
      </c>
      <c r="BI59" s="78">
        <f>+AVERAGE(BH47:BH58)</f>
        <v>1</v>
      </c>
      <c r="BJ59" s="169"/>
      <c r="BK59" s="78">
        <f>+AVERAGE(BK47:BK58)</f>
        <v>1</v>
      </c>
      <c r="BL59" s="78">
        <f>+AVERAGE(BK47:BK58)</f>
        <v>1</v>
      </c>
      <c r="BM59" s="169"/>
      <c r="BN59" s="78">
        <f>+AVERAGE(BN47:BN58)</f>
        <v>1</v>
      </c>
      <c r="BO59" s="78">
        <f>+AVERAGE(BN47:BN58)</f>
        <v>1</v>
      </c>
      <c r="BP59" s="105"/>
      <c r="BQ59" s="105"/>
      <c r="BR59" s="105"/>
      <c r="BS59" s="105"/>
      <c r="BT59" s="105"/>
      <c r="BU59" s="105"/>
      <c r="BV59" s="105"/>
      <c r="BW59" s="108">
        <f t="shared" ref="BW59:BY59" si="9">BW47</f>
        <v>2903434996</v>
      </c>
      <c r="BX59" s="108">
        <f t="shared" si="9"/>
        <v>1777338648</v>
      </c>
      <c r="BY59" s="109">
        <f t="shared" si="9"/>
        <v>0.61215031521236096</v>
      </c>
      <c r="BZ59" s="143">
        <v>2903434996</v>
      </c>
      <c r="CA59" s="143">
        <v>1777791844</v>
      </c>
      <c r="CB59" s="143">
        <v>0</v>
      </c>
      <c r="CC59" s="109">
        <f>CA59/BZ59</f>
        <v>0.61230640480989784</v>
      </c>
      <c r="CD59" s="145">
        <f>CB59/BZ59</f>
        <v>0</v>
      </c>
      <c r="CE59" s="108">
        <v>2903434996</v>
      </c>
      <c r="CF59" s="108">
        <v>1777338648</v>
      </c>
      <c r="CG59" s="109">
        <f>CF59/CE59</f>
        <v>0.61215031521236096</v>
      </c>
      <c r="CH59" s="108">
        <v>2903434996</v>
      </c>
      <c r="CI59" s="108">
        <v>1741913515</v>
      </c>
      <c r="CJ59" s="109">
        <f>CI59/CH59</f>
        <v>0.5999492040978347</v>
      </c>
      <c r="CK59" s="108">
        <v>2903434996</v>
      </c>
      <c r="CL59" s="108">
        <v>1741913515</v>
      </c>
      <c r="CM59" s="109">
        <f>CL59/CK59</f>
        <v>0.5999492040978347</v>
      </c>
      <c r="CN59" s="108">
        <v>2903434996</v>
      </c>
      <c r="CO59" s="108">
        <f>CO47</f>
        <v>1839018515</v>
      </c>
      <c r="CP59" s="109">
        <f>CP47</f>
        <v>0.63339407203315257</v>
      </c>
      <c r="CQ59" s="108">
        <v>2903434996</v>
      </c>
      <c r="CR59" s="108">
        <f>CR47</f>
        <v>1910235602</v>
      </c>
      <c r="CS59" s="109">
        <f>CS47</f>
        <v>0.63339407203315257</v>
      </c>
      <c r="CT59" s="108">
        <f>CT47</f>
        <v>2903434996</v>
      </c>
      <c r="CU59" s="108">
        <f>CU47</f>
        <v>1910235602</v>
      </c>
      <c r="CV59" s="109">
        <f>CR59/CQ59</f>
        <v>0.65792263461441036</v>
      </c>
      <c r="CW59" s="108">
        <f>CW47</f>
        <v>2903434996</v>
      </c>
      <c r="CX59" s="108">
        <f>CX47</f>
        <v>1971481928.4300001</v>
      </c>
      <c r="CY59" s="109">
        <f>CX59/CW59</f>
        <v>0.67901707155354551</v>
      </c>
      <c r="CZ59" s="143">
        <v>2903434996</v>
      </c>
      <c r="DA59" s="143">
        <v>2437929342.2600002</v>
      </c>
      <c r="DB59" s="143">
        <v>2387929342.2600002</v>
      </c>
      <c r="DC59" s="109">
        <f>DA59/CZ59</f>
        <v>0.83967071610650246</v>
      </c>
      <c r="DD59" s="109">
        <f>DB59/CZ59</f>
        <v>0.82244973472793403</v>
      </c>
      <c r="DE59" s="108">
        <f>DE47</f>
        <v>2903434996</v>
      </c>
      <c r="DF59" s="108">
        <f>DF47</f>
        <v>2479985018.98</v>
      </c>
      <c r="DG59" s="109">
        <f>DF59/DE59</f>
        <v>0.85415551661966671</v>
      </c>
      <c r="DH59" s="108">
        <f>DH47</f>
        <v>2903434996</v>
      </c>
      <c r="DI59" s="108">
        <f>DI47</f>
        <v>2625299853.98</v>
      </c>
      <c r="DJ59" s="109">
        <f>DI59/DH59</f>
        <v>0.90420479797096176</v>
      </c>
      <c r="DK59" s="108">
        <f>DK47</f>
        <v>2903434996</v>
      </c>
      <c r="DL59" s="108">
        <f>DL47</f>
        <v>2660104366.5</v>
      </c>
      <c r="DM59" s="109">
        <f>DL59/DK59</f>
        <v>0.91619215521090314</v>
      </c>
      <c r="DN59" s="105"/>
      <c r="DO59" s="105"/>
      <c r="DP59" s="110"/>
      <c r="DQ59" s="111"/>
      <c r="DR59" s="110"/>
      <c r="DS59" s="110"/>
      <c r="DT59" s="110"/>
      <c r="DU59" s="110"/>
      <c r="DV59" s="110"/>
      <c r="DW59" s="110"/>
      <c r="DX59" s="110"/>
      <c r="DY59" s="110"/>
      <c r="DZ59" s="110"/>
      <c r="EA59" s="110"/>
      <c r="EB59" s="110"/>
      <c r="EC59" s="110"/>
      <c r="ED59" s="110"/>
      <c r="EE59" s="110"/>
      <c r="EF59" s="110"/>
    </row>
    <row r="60" spans="1:136" ht="50.25" customHeight="1" x14ac:dyDescent="0.4">
      <c r="A60" s="633"/>
      <c r="B60" s="633"/>
      <c r="C60" s="633"/>
      <c r="D60" s="610"/>
      <c r="E60" s="436"/>
      <c r="F60" s="610"/>
      <c r="G60" s="436"/>
      <c r="H60" s="436"/>
      <c r="I60" s="436"/>
      <c r="J60" s="436"/>
      <c r="K60" s="568" t="s">
        <v>457</v>
      </c>
      <c r="L60" s="610" t="s">
        <v>458</v>
      </c>
      <c r="M60" s="610" t="s">
        <v>189</v>
      </c>
      <c r="N60" s="626">
        <v>27432</v>
      </c>
      <c r="O60" s="610" t="s">
        <v>459</v>
      </c>
      <c r="P60" s="436"/>
      <c r="Q60" s="436" t="s">
        <v>193</v>
      </c>
      <c r="R60" s="436" t="s">
        <v>460</v>
      </c>
      <c r="S60" s="614">
        <v>24984</v>
      </c>
      <c r="T60" s="614">
        <v>18713</v>
      </c>
      <c r="U60" s="614">
        <v>142180</v>
      </c>
      <c r="V60" s="354">
        <f>11327+2944+6953+6877+3671+4920+6558</f>
        <v>43250</v>
      </c>
      <c r="W60" s="331">
        <v>1</v>
      </c>
      <c r="X60" s="331">
        <v>1</v>
      </c>
      <c r="Y60" s="354">
        <f>11327+2944+6953+6877+3671+4920+6558+5736</f>
        <v>48986</v>
      </c>
      <c r="Z60" s="331">
        <v>1</v>
      </c>
      <c r="AA60" s="331">
        <v>1</v>
      </c>
      <c r="AB60" s="354">
        <f>48986+3359</f>
        <v>52345</v>
      </c>
      <c r="AC60" s="331">
        <v>1</v>
      </c>
      <c r="AD60" s="331">
        <v>1</v>
      </c>
      <c r="AE60" s="354">
        <f>48986+3359+7409</f>
        <v>59754</v>
      </c>
      <c r="AF60" s="331">
        <v>1</v>
      </c>
      <c r="AG60" s="331">
        <v>1</v>
      </c>
      <c r="AH60" s="354">
        <f>48986+3359+7409+7041</f>
        <v>66795</v>
      </c>
      <c r="AI60" s="331">
        <v>1</v>
      </c>
      <c r="AJ60" s="331">
        <v>1</v>
      </c>
      <c r="AK60" s="436" t="s">
        <v>195</v>
      </c>
      <c r="AL60" s="437" t="s">
        <v>196</v>
      </c>
      <c r="AM60" s="437" t="s">
        <v>400</v>
      </c>
      <c r="AN60" s="600" t="s">
        <v>461</v>
      </c>
      <c r="AO60" s="568" t="s">
        <v>462</v>
      </c>
      <c r="AP60" s="566">
        <v>2021130010230</v>
      </c>
      <c r="AQ60" s="566" t="s">
        <v>463</v>
      </c>
      <c r="AR60" s="68" t="s">
        <v>464</v>
      </c>
      <c r="AS60" s="614"/>
      <c r="AT60" s="29"/>
      <c r="AU60" s="134">
        <v>0.1</v>
      </c>
      <c r="AV60" s="123">
        <v>44958</v>
      </c>
      <c r="AW60" s="124">
        <v>45275</v>
      </c>
      <c r="AX60" s="29">
        <f t="shared" ref="AX60:AX69" si="10">+AW60-AV60</f>
        <v>317</v>
      </c>
      <c r="AY60" s="614">
        <v>18713</v>
      </c>
      <c r="AZ60" s="612">
        <v>11327</v>
      </c>
      <c r="BA60" s="354">
        <f>11327+2944+6953+6877+3671+4920+6558</f>
        <v>43250</v>
      </c>
      <c r="BB60" s="341">
        <v>1</v>
      </c>
      <c r="BC60" s="344">
        <f>+AVERAGE(BB60:BB69)</f>
        <v>0.9555555555555556</v>
      </c>
      <c r="BD60" s="354">
        <f>11327+2944+6953+6877+3671+4920+6558+5736</f>
        <v>48986</v>
      </c>
      <c r="BE60" s="341">
        <v>1</v>
      </c>
      <c r="BF60" s="344">
        <f>+AVERAGE(BE60:BE69)</f>
        <v>1</v>
      </c>
      <c r="BG60" s="354">
        <f>11327+2944+6953+6877+3671+4920+6558+5736+3359</f>
        <v>52345</v>
      </c>
      <c r="BH60" s="341">
        <v>1</v>
      </c>
      <c r="BI60" s="344">
        <f>+AVERAGE(BH60:BH69)</f>
        <v>1</v>
      </c>
      <c r="BJ60" s="354">
        <f>11327+2944+6953+6877+3671+4920+6558+5736+3359+7409</f>
        <v>59754</v>
      </c>
      <c r="BK60" s="341">
        <v>1</v>
      </c>
      <c r="BL60" s="344">
        <f>+AVERAGE(BK60:BK69)</f>
        <v>1</v>
      </c>
      <c r="BM60" s="354">
        <f>11327+2944+6953+6877+3671+4920+6558+5736+3359+7409+7041</f>
        <v>66795</v>
      </c>
      <c r="BN60" s="341">
        <v>1</v>
      </c>
      <c r="BO60" s="344">
        <f>+AVERAGE(BN60:BN69)</f>
        <v>1</v>
      </c>
      <c r="BP60" s="566" t="s">
        <v>202</v>
      </c>
      <c r="BQ60" s="566" t="s">
        <v>203</v>
      </c>
      <c r="BR60" s="566" t="s">
        <v>204</v>
      </c>
      <c r="BS60" s="60">
        <v>111602400</v>
      </c>
      <c r="BT60" s="40" t="s">
        <v>291</v>
      </c>
      <c r="BU60" s="566" t="s">
        <v>462</v>
      </c>
      <c r="BV60" s="566" t="s">
        <v>465</v>
      </c>
      <c r="BW60" s="745">
        <v>2006706049</v>
      </c>
      <c r="BX60" s="745">
        <v>906437667</v>
      </c>
      <c r="BY60" s="746">
        <f>BX60/BW60</f>
        <v>0.45170425805598396</v>
      </c>
      <c r="BZ60" s="714">
        <v>2006706049</v>
      </c>
      <c r="CA60" s="563">
        <v>906437669</v>
      </c>
      <c r="CB60" s="563">
        <v>275710400</v>
      </c>
      <c r="CC60" s="575">
        <f>CA60/BZ60</f>
        <v>0.45170425905264217</v>
      </c>
      <c r="CD60" s="575">
        <f>CB60/BZ60</f>
        <v>0.13739451283230772</v>
      </c>
      <c r="CE60" s="443">
        <v>2006706049</v>
      </c>
      <c r="CF60" s="443">
        <v>906437667</v>
      </c>
      <c r="CG60" s="693">
        <f>CF60/CE60</f>
        <v>0.45170425805598396</v>
      </c>
      <c r="CH60" s="443">
        <v>2006706049</v>
      </c>
      <c r="CI60" s="443">
        <v>891037667</v>
      </c>
      <c r="CJ60" s="693">
        <f>CI60/CH60</f>
        <v>0.44402999006457872</v>
      </c>
      <c r="CK60" s="443">
        <v>2006706049</v>
      </c>
      <c r="CL60" s="443">
        <v>891037667</v>
      </c>
      <c r="CM60" s="693">
        <f>CL60/CK60</f>
        <v>0.44402999006457872</v>
      </c>
      <c r="CN60" s="402">
        <v>2006706049</v>
      </c>
      <c r="CO60" s="402">
        <v>994990667</v>
      </c>
      <c r="CP60" s="403">
        <f>CO60/CN60</f>
        <v>0.49583279399383523</v>
      </c>
      <c r="CQ60" s="402">
        <v>2006706049</v>
      </c>
      <c r="CR60" s="402">
        <v>1050240667</v>
      </c>
      <c r="CS60" s="403">
        <f>CO60/CN60</f>
        <v>0.49583279399383523</v>
      </c>
      <c r="CT60" s="402">
        <v>2006706049</v>
      </c>
      <c r="CU60" s="402">
        <v>1050240667</v>
      </c>
      <c r="CV60" s="403">
        <f>CR60/CQ60</f>
        <v>0.52336547623572749</v>
      </c>
      <c r="CW60" s="402">
        <v>2006706049</v>
      </c>
      <c r="CX60" s="402">
        <v>1106746151.6700001</v>
      </c>
      <c r="CY60" s="403">
        <f>CX60/CW60</f>
        <v>0.55152380301117043</v>
      </c>
      <c r="CZ60" s="414">
        <v>2006706049</v>
      </c>
      <c r="DA60" s="414">
        <v>1681139675</v>
      </c>
      <c r="DB60" s="414">
        <v>1473858665</v>
      </c>
      <c r="DC60" s="403">
        <f>DA60/CZ60</f>
        <v>0.83776080499570971</v>
      </c>
      <c r="DD60" s="403">
        <f>DB60/CZ60</f>
        <v>0.73446664783537507</v>
      </c>
      <c r="DE60" s="402">
        <v>2006706049</v>
      </c>
      <c r="DF60" s="402">
        <v>1744792927</v>
      </c>
      <c r="DG60" s="403">
        <f>DF60/DE60</f>
        <v>0.86948107216275206</v>
      </c>
      <c r="DH60" s="402">
        <v>2006706049</v>
      </c>
      <c r="DI60" s="402">
        <v>1916878093</v>
      </c>
      <c r="DJ60" s="403">
        <f>DI60/DH60</f>
        <v>0.9552361163984312</v>
      </c>
      <c r="DK60" s="402">
        <v>2006706049</v>
      </c>
      <c r="DL60" s="402">
        <v>1758199743.6900001</v>
      </c>
      <c r="DM60" s="403">
        <f>DL60/DK60</f>
        <v>0.87616207892838227</v>
      </c>
      <c r="DN60" s="48" t="s">
        <v>208</v>
      </c>
      <c r="DO60" s="48" t="s">
        <v>466</v>
      </c>
      <c r="DP60" s="66" t="s">
        <v>210</v>
      </c>
      <c r="DQ60" s="48" t="s">
        <v>291</v>
      </c>
      <c r="DR60" s="71">
        <v>44927</v>
      </c>
      <c r="DS60" s="496" t="s">
        <v>467</v>
      </c>
      <c r="DT60" s="500" t="s">
        <v>468</v>
      </c>
      <c r="DU60" s="307" t="s">
        <v>469</v>
      </c>
      <c r="DV60" s="503" t="s">
        <v>470</v>
      </c>
      <c r="DW60" s="307" t="s">
        <v>471</v>
      </c>
      <c r="DX60" s="428" t="s">
        <v>472</v>
      </c>
      <c r="DY60" s="592" t="s">
        <v>473</v>
      </c>
      <c r="DZ60" s="592" t="s">
        <v>474</v>
      </c>
      <c r="EA60" s="592" t="s">
        <v>474</v>
      </c>
      <c r="EB60" s="428" t="s">
        <v>475</v>
      </c>
      <c r="EC60" s="307" t="s">
        <v>749</v>
      </c>
      <c r="ED60" s="307" t="s">
        <v>790</v>
      </c>
      <c r="EE60" s="496" t="s">
        <v>221</v>
      </c>
      <c r="EF60" s="496" t="s">
        <v>306</v>
      </c>
    </row>
    <row r="61" spans="1:136" ht="50.25" customHeight="1" x14ac:dyDescent="0.4">
      <c r="A61" s="633"/>
      <c r="B61" s="633"/>
      <c r="C61" s="633"/>
      <c r="D61" s="610"/>
      <c r="E61" s="436"/>
      <c r="F61" s="610"/>
      <c r="G61" s="436"/>
      <c r="H61" s="436"/>
      <c r="I61" s="436"/>
      <c r="J61" s="436"/>
      <c r="K61" s="568"/>
      <c r="L61" s="610"/>
      <c r="M61" s="610"/>
      <c r="N61" s="626"/>
      <c r="O61" s="610"/>
      <c r="P61" s="436"/>
      <c r="Q61" s="436"/>
      <c r="R61" s="436"/>
      <c r="S61" s="614"/>
      <c r="T61" s="614"/>
      <c r="U61" s="614"/>
      <c r="V61" s="355"/>
      <c r="W61" s="331"/>
      <c r="X61" s="331"/>
      <c r="Y61" s="355"/>
      <c r="Z61" s="331"/>
      <c r="AA61" s="331"/>
      <c r="AB61" s="355"/>
      <c r="AC61" s="331"/>
      <c r="AD61" s="331"/>
      <c r="AE61" s="355"/>
      <c r="AF61" s="331"/>
      <c r="AG61" s="331"/>
      <c r="AH61" s="355"/>
      <c r="AI61" s="331"/>
      <c r="AJ61" s="331"/>
      <c r="AK61" s="436"/>
      <c r="AL61" s="437"/>
      <c r="AM61" s="437"/>
      <c r="AN61" s="600"/>
      <c r="AO61" s="568"/>
      <c r="AP61" s="566"/>
      <c r="AQ61" s="566"/>
      <c r="AR61" s="68" t="s">
        <v>476</v>
      </c>
      <c r="AS61" s="614"/>
      <c r="AT61" s="29"/>
      <c r="AU61" s="134">
        <v>0.12</v>
      </c>
      <c r="AV61" s="123">
        <v>44958</v>
      </c>
      <c r="AW61" s="124">
        <v>45275</v>
      </c>
      <c r="AX61" s="29">
        <f t="shared" si="10"/>
        <v>317</v>
      </c>
      <c r="AY61" s="614"/>
      <c r="AZ61" s="612"/>
      <c r="BA61" s="355"/>
      <c r="BB61" s="342"/>
      <c r="BC61" s="344"/>
      <c r="BD61" s="355"/>
      <c r="BE61" s="342"/>
      <c r="BF61" s="344"/>
      <c r="BG61" s="355"/>
      <c r="BH61" s="342"/>
      <c r="BI61" s="344"/>
      <c r="BJ61" s="355"/>
      <c r="BK61" s="342"/>
      <c r="BL61" s="344"/>
      <c r="BM61" s="355"/>
      <c r="BN61" s="342"/>
      <c r="BO61" s="344"/>
      <c r="BP61" s="566"/>
      <c r="BQ61" s="566"/>
      <c r="BR61" s="566"/>
      <c r="BS61" s="62">
        <v>92821600</v>
      </c>
      <c r="BT61" s="40" t="s">
        <v>291</v>
      </c>
      <c r="BU61" s="566"/>
      <c r="BV61" s="566"/>
      <c r="BW61" s="745"/>
      <c r="BX61" s="745"/>
      <c r="BY61" s="746"/>
      <c r="BZ61" s="715"/>
      <c r="CA61" s="564"/>
      <c r="CB61" s="564"/>
      <c r="CC61" s="576"/>
      <c r="CD61" s="576"/>
      <c r="CE61" s="444"/>
      <c r="CF61" s="444"/>
      <c r="CG61" s="694"/>
      <c r="CH61" s="444"/>
      <c r="CI61" s="444"/>
      <c r="CJ61" s="694"/>
      <c r="CK61" s="444"/>
      <c r="CL61" s="444"/>
      <c r="CM61" s="694"/>
      <c r="CN61" s="412"/>
      <c r="CO61" s="412"/>
      <c r="CP61" s="404"/>
      <c r="CQ61" s="412"/>
      <c r="CR61" s="412"/>
      <c r="CS61" s="404"/>
      <c r="CT61" s="433"/>
      <c r="CU61" s="433"/>
      <c r="CV61" s="404"/>
      <c r="CW61" s="400"/>
      <c r="CX61" s="400"/>
      <c r="CY61" s="404"/>
      <c r="CZ61" s="415"/>
      <c r="DA61" s="415"/>
      <c r="DB61" s="415"/>
      <c r="DC61" s="404"/>
      <c r="DD61" s="404"/>
      <c r="DE61" s="400"/>
      <c r="DF61" s="400"/>
      <c r="DG61" s="404"/>
      <c r="DH61" s="400"/>
      <c r="DI61" s="400"/>
      <c r="DJ61" s="404"/>
      <c r="DK61" s="400"/>
      <c r="DL61" s="400"/>
      <c r="DM61" s="404"/>
      <c r="DN61" s="48" t="s">
        <v>208</v>
      </c>
      <c r="DO61" s="48" t="s">
        <v>477</v>
      </c>
      <c r="DP61" s="66" t="s">
        <v>478</v>
      </c>
      <c r="DQ61" s="48" t="s">
        <v>291</v>
      </c>
      <c r="DR61" s="71">
        <v>44927</v>
      </c>
      <c r="DS61" s="492"/>
      <c r="DT61" s="501"/>
      <c r="DU61" s="308"/>
      <c r="DV61" s="504"/>
      <c r="DW61" s="308"/>
      <c r="DX61" s="601"/>
      <c r="DY61" s="429"/>
      <c r="DZ61" s="429"/>
      <c r="EA61" s="429"/>
      <c r="EB61" s="429"/>
      <c r="EC61" s="324"/>
      <c r="ED61" s="324"/>
      <c r="EE61" s="492"/>
      <c r="EF61" s="492"/>
    </row>
    <row r="62" spans="1:136" ht="50.25" customHeight="1" x14ac:dyDescent="0.4">
      <c r="A62" s="633"/>
      <c r="B62" s="633"/>
      <c r="C62" s="633"/>
      <c r="D62" s="610"/>
      <c r="E62" s="436"/>
      <c r="F62" s="610"/>
      <c r="G62" s="436"/>
      <c r="H62" s="436"/>
      <c r="I62" s="436"/>
      <c r="J62" s="436"/>
      <c r="K62" s="568"/>
      <c r="L62" s="610"/>
      <c r="M62" s="610"/>
      <c r="N62" s="626"/>
      <c r="O62" s="610"/>
      <c r="P62" s="436"/>
      <c r="Q62" s="436"/>
      <c r="R62" s="436"/>
      <c r="S62" s="614"/>
      <c r="T62" s="614"/>
      <c r="U62" s="614"/>
      <c r="V62" s="355"/>
      <c r="W62" s="331"/>
      <c r="X62" s="331"/>
      <c r="Y62" s="355"/>
      <c r="Z62" s="331"/>
      <c r="AA62" s="331"/>
      <c r="AB62" s="355"/>
      <c r="AC62" s="331"/>
      <c r="AD62" s="331"/>
      <c r="AE62" s="355"/>
      <c r="AF62" s="331"/>
      <c r="AG62" s="331"/>
      <c r="AH62" s="355"/>
      <c r="AI62" s="331"/>
      <c r="AJ62" s="331"/>
      <c r="AK62" s="436"/>
      <c r="AL62" s="437"/>
      <c r="AM62" s="437"/>
      <c r="AN62" s="600"/>
      <c r="AO62" s="568"/>
      <c r="AP62" s="566"/>
      <c r="AQ62" s="566"/>
      <c r="AR62" s="68" t="s">
        <v>479</v>
      </c>
      <c r="AS62" s="614"/>
      <c r="AT62" s="29"/>
      <c r="AU62" s="134">
        <v>0.12</v>
      </c>
      <c r="AV62" s="123">
        <v>44958</v>
      </c>
      <c r="AW62" s="124">
        <v>45275</v>
      </c>
      <c r="AX62" s="29">
        <f t="shared" si="10"/>
        <v>317</v>
      </c>
      <c r="AY62" s="614"/>
      <c r="AZ62" s="612"/>
      <c r="BA62" s="355"/>
      <c r="BB62" s="342"/>
      <c r="BC62" s="344"/>
      <c r="BD62" s="355"/>
      <c r="BE62" s="342"/>
      <c r="BF62" s="344"/>
      <c r="BG62" s="355"/>
      <c r="BH62" s="342"/>
      <c r="BI62" s="344"/>
      <c r="BJ62" s="355"/>
      <c r="BK62" s="342"/>
      <c r="BL62" s="344"/>
      <c r="BM62" s="355"/>
      <c r="BN62" s="342"/>
      <c r="BO62" s="344"/>
      <c r="BP62" s="566"/>
      <c r="BQ62" s="566"/>
      <c r="BR62" s="566"/>
      <c r="BS62" s="62">
        <v>168464800</v>
      </c>
      <c r="BT62" s="40" t="s">
        <v>291</v>
      </c>
      <c r="BU62" s="566"/>
      <c r="BV62" s="566"/>
      <c r="BW62" s="745"/>
      <c r="BX62" s="745"/>
      <c r="BY62" s="746"/>
      <c r="BZ62" s="715"/>
      <c r="CA62" s="564"/>
      <c r="CB62" s="564"/>
      <c r="CC62" s="576"/>
      <c r="CD62" s="576"/>
      <c r="CE62" s="444"/>
      <c r="CF62" s="444"/>
      <c r="CG62" s="694"/>
      <c r="CH62" s="444"/>
      <c r="CI62" s="444"/>
      <c r="CJ62" s="694"/>
      <c r="CK62" s="444"/>
      <c r="CL62" s="444"/>
      <c r="CM62" s="694"/>
      <c r="CN62" s="412"/>
      <c r="CO62" s="412"/>
      <c r="CP62" s="404"/>
      <c r="CQ62" s="412"/>
      <c r="CR62" s="412"/>
      <c r="CS62" s="404"/>
      <c r="CT62" s="433"/>
      <c r="CU62" s="433"/>
      <c r="CV62" s="404"/>
      <c r="CW62" s="400"/>
      <c r="CX62" s="400"/>
      <c r="CY62" s="404"/>
      <c r="CZ62" s="415"/>
      <c r="DA62" s="415"/>
      <c r="DB62" s="415"/>
      <c r="DC62" s="404"/>
      <c r="DD62" s="404"/>
      <c r="DE62" s="400"/>
      <c r="DF62" s="400"/>
      <c r="DG62" s="404"/>
      <c r="DH62" s="400"/>
      <c r="DI62" s="400"/>
      <c r="DJ62" s="404"/>
      <c r="DK62" s="400"/>
      <c r="DL62" s="400"/>
      <c r="DM62" s="404"/>
      <c r="DN62" s="48" t="s">
        <v>208</v>
      </c>
      <c r="DO62" s="40" t="s">
        <v>477</v>
      </c>
      <c r="DP62" s="70" t="s">
        <v>478</v>
      </c>
      <c r="DQ62" s="66" t="s">
        <v>291</v>
      </c>
      <c r="DR62" s="71">
        <v>44927</v>
      </c>
      <c r="DS62" s="492"/>
      <c r="DT62" s="501"/>
      <c r="DU62" s="308"/>
      <c r="DV62" s="504"/>
      <c r="DW62" s="308"/>
      <c r="DX62" s="601"/>
      <c r="DY62" s="429"/>
      <c r="DZ62" s="429"/>
      <c r="EA62" s="429"/>
      <c r="EB62" s="429"/>
      <c r="EC62" s="324"/>
      <c r="ED62" s="324"/>
      <c r="EE62" s="492"/>
      <c r="EF62" s="492"/>
    </row>
    <row r="63" spans="1:136" ht="50.25" customHeight="1" x14ac:dyDescent="0.4">
      <c r="A63" s="633"/>
      <c r="B63" s="633"/>
      <c r="C63" s="633"/>
      <c r="D63" s="610"/>
      <c r="E63" s="436"/>
      <c r="F63" s="610"/>
      <c r="G63" s="436"/>
      <c r="H63" s="436"/>
      <c r="I63" s="436"/>
      <c r="J63" s="436"/>
      <c r="K63" s="568"/>
      <c r="L63" s="610"/>
      <c r="M63" s="610"/>
      <c r="N63" s="626"/>
      <c r="O63" s="610"/>
      <c r="P63" s="436"/>
      <c r="Q63" s="436"/>
      <c r="R63" s="436"/>
      <c r="S63" s="614"/>
      <c r="T63" s="614"/>
      <c r="U63" s="614"/>
      <c r="V63" s="355"/>
      <c r="W63" s="331"/>
      <c r="X63" s="331"/>
      <c r="Y63" s="355"/>
      <c r="Z63" s="331"/>
      <c r="AA63" s="331"/>
      <c r="AB63" s="355"/>
      <c r="AC63" s="331"/>
      <c r="AD63" s="331"/>
      <c r="AE63" s="355"/>
      <c r="AF63" s="331"/>
      <c r="AG63" s="331"/>
      <c r="AH63" s="355"/>
      <c r="AI63" s="331"/>
      <c r="AJ63" s="331"/>
      <c r="AK63" s="436"/>
      <c r="AL63" s="437"/>
      <c r="AM63" s="437"/>
      <c r="AN63" s="600"/>
      <c r="AO63" s="568"/>
      <c r="AP63" s="566"/>
      <c r="AQ63" s="566"/>
      <c r="AR63" s="68" t="s">
        <v>480</v>
      </c>
      <c r="AS63" s="614"/>
      <c r="AT63" s="29"/>
      <c r="AU63" s="134">
        <v>0.12</v>
      </c>
      <c r="AV63" s="123">
        <v>44958</v>
      </c>
      <c r="AW63" s="124">
        <v>45275</v>
      </c>
      <c r="AX63" s="29">
        <f t="shared" si="10"/>
        <v>317</v>
      </c>
      <c r="AY63" s="614"/>
      <c r="AZ63" s="612"/>
      <c r="BA63" s="355"/>
      <c r="BB63" s="342"/>
      <c r="BC63" s="344"/>
      <c r="BD63" s="355"/>
      <c r="BE63" s="342"/>
      <c r="BF63" s="344"/>
      <c r="BG63" s="355"/>
      <c r="BH63" s="342"/>
      <c r="BI63" s="344"/>
      <c r="BJ63" s="355"/>
      <c r="BK63" s="342"/>
      <c r="BL63" s="344"/>
      <c r="BM63" s="355"/>
      <c r="BN63" s="342"/>
      <c r="BO63" s="344"/>
      <c r="BP63" s="566"/>
      <c r="BQ63" s="566"/>
      <c r="BR63" s="566"/>
      <c r="BS63" s="62">
        <v>261870000</v>
      </c>
      <c r="BT63" s="40" t="s">
        <v>291</v>
      </c>
      <c r="BU63" s="566"/>
      <c r="BV63" s="566"/>
      <c r="BW63" s="745"/>
      <c r="BX63" s="745"/>
      <c r="BY63" s="746"/>
      <c r="BZ63" s="715"/>
      <c r="CA63" s="564"/>
      <c r="CB63" s="564"/>
      <c r="CC63" s="576"/>
      <c r="CD63" s="576"/>
      <c r="CE63" s="444"/>
      <c r="CF63" s="444"/>
      <c r="CG63" s="694"/>
      <c r="CH63" s="444"/>
      <c r="CI63" s="444"/>
      <c r="CJ63" s="694"/>
      <c r="CK63" s="444"/>
      <c r="CL63" s="444"/>
      <c r="CM63" s="694"/>
      <c r="CN63" s="412"/>
      <c r="CO63" s="412"/>
      <c r="CP63" s="404"/>
      <c r="CQ63" s="412"/>
      <c r="CR63" s="412"/>
      <c r="CS63" s="404"/>
      <c r="CT63" s="433"/>
      <c r="CU63" s="433"/>
      <c r="CV63" s="404"/>
      <c r="CW63" s="400"/>
      <c r="CX63" s="400"/>
      <c r="CY63" s="404"/>
      <c r="CZ63" s="415"/>
      <c r="DA63" s="415"/>
      <c r="DB63" s="415"/>
      <c r="DC63" s="404"/>
      <c r="DD63" s="404"/>
      <c r="DE63" s="400"/>
      <c r="DF63" s="400"/>
      <c r="DG63" s="404"/>
      <c r="DH63" s="400"/>
      <c r="DI63" s="400"/>
      <c r="DJ63" s="404"/>
      <c r="DK63" s="400"/>
      <c r="DL63" s="400"/>
      <c r="DM63" s="404"/>
      <c r="DN63" s="48" t="s">
        <v>208</v>
      </c>
      <c r="DO63" s="40" t="s">
        <v>477</v>
      </c>
      <c r="DP63" s="61" t="s">
        <v>478</v>
      </c>
      <c r="DQ63" s="66" t="s">
        <v>291</v>
      </c>
      <c r="DR63" s="71">
        <v>44927</v>
      </c>
      <c r="DS63" s="492"/>
      <c r="DT63" s="501"/>
      <c r="DU63" s="308"/>
      <c r="DV63" s="504"/>
      <c r="DW63" s="308"/>
      <c r="DX63" s="601"/>
      <c r="DY63" s="429"/>
      <c r="DZ63" s="429"/>
      <c r="EA63" s="429"/>
      <c r="EB63" s="429"/>
      <c r="EC63" s="324"/>
      <c r="ED63" s="324"/>
      <c r="EE63" s="492"/>
      <c r="EF63" s="492"/>
    </row>
    <row r="64" spans="1:136" ht="50.25" customHeight="1" x14ac:dyDescent="0.4">
      <c r="A64" s="633"/>
      <c r="B64" s="633"/>
      <c r="C64" s="633"/>
      <c r="D64" s="610"/>
      <c r="E64" s="436"/>
      <c r="F64" s="610"/>
      <c r="G64" s="436"/>
      <c r="H64" s="436"/>
      <c r="I64" s="436"/>
      <c r="J64" s="436"/>
      <c r="K64" s="568"/>
      <c r="L64" s="610"/>
      <c r="M64" s="610"/>
      <c r="N64" s="626"/>
      <c r="O64" s="610"/>
      <c r="P64" s="436"/>
      <c r="Q64" s="436"/>
      <c r="R64" s="436"/>
      <c r="S64" s="614"/>
      <c r="T64" s="614"/>
      <c r="U64" s="614"/>
      <c r="V64" s="355"/>
      <c r="W64" s="331"/>
      <c r="X64" s="331"/>
      <c r="Y64" s="355"/>
      <c r="Z64" s="331"/>
      <c r="AA64" s="331"/>
      <c r="AB64" s="355"/>
      <c r="AC64" s="331"/>
      <c r="AD64" s="331"/>
      <c r="AE64" s="355"/>
      <c r="AF64" s="331"/>
      <c r="AG64" s="331"/>
      <c r="AH64" s="355"/>
      <c r="AI64" s="331"/>
      <c r="AJ64" s="331"/>
      <c r="AK64" s="436"/>
      <c r="AL64" s="437"/>
      <c r="AM64" s="437"/>
      <c r="AN64" s="600"/>
      <c r="AO64" s="568"/>
      <c r="AP64" s="566"/>
      <c r="AQ64" s="566"/>
      <c r="AR64" s="68" t="s">
        <v>481</v>
      </c>
      <c r="AS64" s="614"/>
      <c r="AT64" s="29"/>
      <c r="AU64" s="134">
        <v>0.05</v>
      </c>
      <c r="AV64" s="123">
        <v>44958</v>
      </c>
      <c r="AW64" s="124">
        <v>45275</v>
      </c>
      <c r="AX64" s="29">
        <f t="shared" si="10"/>
        <v>317</v>
      </c>
      <c r="AY64" s="614"/>
      <c r="AZ64" s="612"/>
      <c r="BA64" s="355"/>
      <c r="BB64" s="342"/>
      <c r="BC64" s="344"/>
      <c r="BD64" s="355"/>
      <c r="BE64" s="342"/>
      <c r="BF64" s="344"/>
      <c r="BG64" s="355"/>
      <c r="BH64" s="342"/>
      <c r="BI64" s="344"/>
      <c r="BJ64" s="355"/>
      <c r="BK64" s="342"/>
      <c r="BL64" s="344"/>
      <c r="BM64" s="355"/>
      <c r="BN64" s="342"/>
      <c r="BO64" s="344"/>
      <c r="BP64" s="566"/>
      <c r="BQ64" s="566"/>
      <c r="BR64" s="566"/>
      <c r="BS64" s="62">
        <v>226578167.35430601</v>
      </c>
      <c r="BT64" s="40" t="s">
        <v>291</v>
      </c>
      <c r="BU64" s="566"/>
      <c r="BV64" s="566"/>
      <c r="BW64" s="745"/>
      <c r="BX64" s="745"/>
      <c r="BY64" s="746"/>
      <c r="BZ64" s="715"/>
      <c r="CA64" s="564"/>
      <c r="CB64" s="564"/>
      <c r="CC64" s="576"/>
      <c r="CD64" s="576"/>
      <c r="CE64" s="444"/>
      <c r="CF64" s="444"/>
      <c r="CG64" s="694"/>
      <c r="CH64" s="444"/>
      <c r="CI64" s="444"/>
      <c r="CJ64" s="694"/>
      <c r="CK64" s="444"/>
      <c r="CL64" s="444"/>
      <c r="CM64" s="694"/>
      <c r="CN64" s="412"/>
      <c r="CO64" s="412"/>
      <c r="CP64" s="404"/>
      <c r="CQ64" s="412"/>
      <c r="CR64" s="412"/>
      <c r="CS64" s="404"/>
      <c r="CT64" s="433"/>
      <c r="CU64" s="433"/>
      <c r="CV64" s="404"/>
      <c r="CW64" s="400"/>
      <c r="CX64" s="400"/>
      <c r="CY64" s="404"/>
      <c r="CZ64" s="415"/>
      <c r="DA64" s="415"/>
      <c r="DB64" s="415"/>
      <c r="DC64" s="404"/>
      <c r="DD64" s="404"/>
      <c r="DE64" s="400"/>
      <c r="DF64" s="400"/>
      <c r="DG64" s="404"/>
      <c r="DH64" s="400"/>
      <c r="DI64" s="400"/>
      <c r="DJ64" s="404"/>
      <c r="DK64" s="400"/>
      <c r="DL64" s="400"/>
      <c r="DM64" s="404"/>
      <c r="DN64" s="48" t="s">
        <v>208</v>
      </c>
      <c r="DO64" s="40" t="s">
        <v>482</v>
      </c>
      <c r="DP64" s="61" t="s">
        <v>483</v>
      </c>
      <c r="DQ64" s="66" t="s">
        <v>291</v>
      </c>
      <c r="DR64" s="71">
        <v>44927</v>
      </c>
      <c r="DS64" s="492"/>
      <c r="DT64" s="501"/>
      <c r="DU64" s="308"/>
      <c r="DV64" s="504"/>
      <c r="DW64" s="308"/>
      <c r="DX64" s="601"/>
      <c r="DY64" s="429"/>
      <c r="DZ64" s="429"/>
      <c r="EA64" s="429"/>
      <c r="EB64" s="429"/>
      <c r="EC64" s="324"/>
      <c r="ED64" s="324"/>
      <c r="EE64" s="492"/>
      <c r="EF64" s="492"/>
    </row>
    <row r="65" spans="1:136" ht="50.25" customHeight="1" x14ac:dyDescent="0.4">
      <c r="A65" s="633"/>
      <c r="B65" s="633"/>
      <c r="C65" s="633"/>
      <c r="D65" s="610"/>
      <c r="E65" s="436"/>
      <c r="F65" s="610"/>
      <c r="G65" s="436"/>
      <c r="H65" s="436"/>
      <c r="I65" s="436"/>
      <c r="J65" s="436"/>
      <c r="K65" s="568"/>
      <c r="L65" s="610"/>
      <c r="M65" s="610"/>
      <c r="N65" s="626"/>
      <c r="O65" s="610"/>
      <c r="P65" s="436"/>
      <c r="Q65" s="436"/>
      <c r="R65" s="436"/>
      <c r="S65" s="614"/>
      <c r="T65" s="614"/>
      <c r="U65" s="614"/>
      <c r="V65" s="355"/>
      <c r="W65" s="331"/>
      <c r="X65" s="331"/>
      <c r="Y65" s="355"/>
      <c r="Z65" s="331"/>
      <c r="AA65" s="331"/>
      <c r="AB65" s="355"/>
      <c r="AC65" s="331"/>
      <c r="AD65" s="331"/>
      <c r="AE65" s="355"/>
      <c r="AF65" s="331"/>
      <c r="AG65" s="331"/>
      <c r="AH65" s="355"/>
      <c r="AI65" s="331"/>
      <c r="AJ65" s="331"/>
      <c r="AK65" s="436"/>
      <c r="AL65" s="437"/>
      <c r="AM65" s="437"/>
      <c r="AN65" s="600"/>
      <c r="AO65" s="568"/>
      <c r="AP65" s="566"/>
      <c r="AQ65" s="566"/>
      <c r="AR65" s="618" t="s">
        <v>484</v>
      </c>
      <c r="AS65" s="614"/>
      <c r="AT65" s="29"/>
      <c r="AU65" s="570">
        <v>0.12</v>
      </c>
      <c r="AV65" s="123">
        <v>44958</v>
      </c>
      <c r="AW65" s="124">
        <v>45275</v>
      </c>
      <c r="AX65" s="29">
        <f t="shared" si="10"/>
        <v>317</v>
      </c>
      <c r="AY65" s="614"/>
      <c r="AZ65" s="612"/>
      <c r="BA65" s="355"/>
      <c r="BB65" s="342"/>
      <c r="BC65" s="344"/>
      <c r="BD65" s="355"/>
      <c r="BE65" s="342"/>
      <c r="BF65" s="344"/>
      <c r="BG65" s="355"/>
      <c r="BH65" s="342"/>
      <c r="BI65" s="344"/>
      <c r="BJ65" s="355"/>
      <c r="BK65" s="342"/>
      <c r="BL65" s="344"/>
      <c r="BM65" s="355"/>
      <c r="BN65" s="342"/>
      <c r="BO65" s="344"/>
      <c r="BP65" s="566"/>
      <c r="BQ65" s="566"/>
      <c r="BR65" s="566"/>
      <c r="BS65" s="62">
        <v>106945210.64569402</v>
      </c>
      <c r="BT65" s="40" t="s">
        <v>291</v>
      </c>
      <c r="BU65" s="566"/>
      <c r="BV65" s="566"/>
      <c r="BW65" s="745"/>
      <c r="BX65" s="745"/>
      <c r="BY65" s="746"/>
      <c r="BZ65" s="715"/>
      <c r="CA65" s="564"/>
      <c r="CB65" s="564"/>
      <c r="CC65" s="576"/>
      <c r="CD65" s="576"/>
      <c r="CE65" s="444"/>
      <c r="CF65" s="444"/>
      <c r="CG65" s="694"/>
      <c r="CH65" s="444"/>
      <c r="CI65" s="444"/>
      <c r="CJ65" s="694"/>
      <c r="CK65" s="444"/>
      <c r="CL65" s="444"/>
      <c r="CM65" s="694"/>
      <c r="CN65" s="412"/>
      <c r="CO65" s="412"/>
      <c r="CP65" s="404"/>
      <c r="CQ65" s="412"/>
      <c r="CR65" s="412"/>
      <c r="CS65" s="404"/>
      <c r="CT65" s="433"/>
      <c r="CU65" s="433"/>
      <c r="CV65" s="404"/>
      <c r="CW65" s="400"/>
      <c r="CX65" s="400"/>
      <c r="CY65" s="404"/>
      <c r="CZ65" s="415"/>
      <c r="DA65" s="415"/>
      <c r="DB65" s="415"/>
      <c r="DC65" s="404"/>
      <c r="DD65" s="404"/>
      <c r="DE65" s="400"/>
      <c r="DF65" s="400"/>
      <c r="DG65" s="404"/>
      <c r="DH65" s="400"/>
      <c r="DI65" s="400"/>
      <c r="DJ65" s="404"/>
      <c r="DK65" s="400"/>
      <c r="DL65" s="400"/>
      <c r="DM65" s="404"/>
      <c r="DN65" s="48" t="s">
        <v>208</v>
      </c>
      <c r="DO65" s="593" t="s">
        <v>485</v>
      </c>
      <c r="DP65" s="595" t="s">
        <v>210</v>
      </c>
      <c r="DQ65" s="494" t="s">
        <v>486</v>
      </c>
      <c r="DR65" s="514">
        <v>44927</v>
      </c>
      <c r="DS65" s="492"/>
      <c r="DT65" s="501"/>
      <c r="DU65" s="308"/>
      <c r="DV65" s="504"/>
      <c r="DW65" s="308"/>
      <c r="DX65" s="601"/>
      <c r="DY65" s="429"/>
      <c r="DZ65" s="429"/>
      <c r="EA65" s="429"/>
      <c r="EB65" s="429"/>
      <c r="EC65" s="324"/>
      <c r="ED65" s="324"/>
      <c r="EE65" s="492"/>
      <c r="EF65" s="492"/>
    </row>
    <row r="66" spans="1:136" ht="408.75" customHeight="1" x14ac:dyDescent="0.4">
      <c r="A66" s="633"/>
      <c r="B66" s="633"/>
      <c r="C66" s="633"/>
      <c r="D66" s="610"/>
      <c r="E66" s="436"/>
      <c r="F66" s="610"/>
      <c r="G66" s="436"/>
      <c r="H66" s="436"/>
      <c r="I66" s="436"/>
      <c r="J66" s="436"/>
      <c r="K66" s="568"/>
      <c r="L66" s="610"/>
      <c r="M66" s="610"/>
      <c r="N66" s="626"/>
      <c r="O66" s="610"/>
      <c r="P66" s="436"/>
      <c r="Q66" s="436"/>
      <c r="R66" s="436"/>
      <c r="S66" s="614"/>
      <c r="T66" s="614"/>
      <c r="U66" s="614"/>
      <c r="V66" s="356"/>
      <c r="W66" s="331"/>
      <c r="X66" s="331"/>
      <c r="Y66" s="356"/>
      <c r="Z66" s="331"/>
      <c r="AA66" s="331"/>
      <c r="AB66" s="356"/>
      <c r="AC66" s="331"/>
      <c r="AD66" s="331"/>
      <c r="AE66" s="356"/>
      <c r="AF66" s="331"/>
      <c r="AG66" s="331"/>
      <c r="AH66" s="356"/>
      <c r="AI66" s="331"/>
      <c r="AJ66" s="331"/>
      <c r="AK66" s="436"/>
      <c r="AL66" s="437"/>
      <c r="AM66" s="437"/>
      <c r="AN66" s="600"/>
      <c r="AO66" s="568"/>
      <c r="AP66" s="566"/>
      <c r="AQ66" s="566"/>
      <c r="AR66" s="618"/>
      <c r="AS66" s="614"/>
      <c r="AT66" s="29"/>
      <c r="AU66" s="570"/>
      <c r="AV66" s="123">
        <v>44958</v>
      </c>
      <c r="AW66" s="124">
        <v>45275</v>
      </c>
      <c r="AX66" s="29">
        <f t="shared" si="10"/>
        <v>317</v>
      </c>
      <c r="AY66" s="614"/>
      <c r="AZ66" s="612"/>
      <c r="BA66" s="356"/>
      <c r="BB66" s="343"/>
      <c r="BC66" s="344"/>
      <c r="BD66" s="356"/>
      <c r="BE66" s="343"/>
      <c r="BF66" s="344"/>
      <c r="BG66" s="356"/>
      <c r="BH66" s="343"/>
      <c r="BI66" s="344"/>
      <c r="BJ66" s="356"/>
      <c r="BK66" s="343"/>
      <c r="BL66" s="344"/>
      <c r="BM66" s="356"/>
      <c r="BN66" s="343"/>
      <c r="BO66" s="344"/>
      <c r="BP66" s="566"/>
      <c r="BQ66" s="566"/>
      <c r="BR66" s="566"/>
      <c r="BS66" s="62">
        <v>289348389.35430598</v>
      </c>
      <c r="BT66" s="40" t="s">
        <v>205</v>
      </c>
      <c r="BU66" s="566"/>
      <c r="BV66" s="566"/>
      <c r="BW66" s="745"/>
      <c r="BX66" s="745"/>
      <c r="BY66" s="746"/>
      <c r="BZ66" s="715"/>
      <c r="CA66" s="564"/>
      <c r="CB66" s="564"/>
      <c r="CC66" s="576"/>
      <c r="CD66" s="576"/>
      <c r="CE66" s="444"/>
      <c r="CF66" s="444"/>
      <c r="CG66" s="694"/>
      <c r="CH66" s="444"/>
      <c r="CI66" s="444"/>
      <c r="CJ66" s="694"/>
      <c r="CK66" s="444"/>
      <c r="CL66" s="444"/>
      <c r="CM66" s="694"/>
      <c r="CN66" s="412"/>
      <c r="CO66" s="412"/>
      <c r="CP66" s="404"/>
      <c r="CQ66" s="412"/>
      <c r="CR66" s="412"/>
      <c r="CS66" s="404"/>
      <c r="CT66" s="433"/>
      <c r="CU66" s="433"/>
      <c r="CV66" s="404"/>
      <c r="CW66" s="400"/>
      <c r="CX66" s="400"/>
      <c r="CY66" s="404"/>
      <c r="CZ66" s="415"/>
      <c r="DA66" s="415"/>
      <c r="DB66" s="415"/>
      <c r="DC66" s="404"/>
      <c r="DD66" s="404"/>
      <c r="DE66" s="400"/>
      <c r="DF66" s="400"/>
      <c r="DG66" s="404"/>
      <c r="DH66" s="400"/>
      <c r="DI66" s="400"/>
      <c r="DJ66" s="404"/>
      <c r="DK66" s="400"/>
      <c r="DL66" s="400"/>
      <c r="DM66" s="404"/>
      <c r="DN66" s="48" t="s">
        <v>208</v>
      </c>
      <c r="DO66" s="594"/>
      <c r="DP66" s="596"/>
      <c r="DQ66" s="495"/>
      <c r="DR66" s="515"/>
      <c r="DS66" s="492"/>
      <c r="DT66" s="501"/>
      <c r="DU66" s="308"/>
      <c r="DV66" s="505"/>
      <c r="DW66" s="309"/>
      <c r="DX66" s="602"/>
      <c r="DY66" s="430"/>
      <c r="DZ66" s="430"/>
      <c r="EA66" s="430"/>
      <c r="EB66" s="430"/>
      <c r="EC66" s="325"/>
      <c r="ED66" s="325"/>
      <c r="EE66" s="492"/>
      <c r="EF66" s="492"/>
    </row>
    <row r="67" spans="1:136" ht="323.25" customHeight="1" x14ac:dyDescent="0.4">
      <c r="A67" s="633"/>
      <c r="B67" s="633"/>
      <c r="C67" s="633"/>
      <c r="D67" s="610"/>
      <c r="E67" s="436"/>
      <c r="F67" s="610"/>
      <c r="G67" s="436"/>
      <c r="H67" s="436"/>
      <c r="I67" s="436"/>
      <c r="J67" s="436"/>
      <c r="K67" s="568"/>
      <c r="L67" s="38" t="s">
        <v>487</v>
      </c>
      <c r="M67" s="37" t="s">
        <v>189</v>
      </c>
      <c r="N67" s="30">
        <v>16428</v>
      </c>
      <c r="O67" s="37" t="s">
        <v>488</v>
      </c>
      <c r="P67" s="436"/>
      <c r="Q67" s="436"/>
      <c r="R67" s="436"/>
      <c r="S67" s="30">
        <v>22999</v>
      </c>
      <c r="T67" s="30">
        <v>11000</v>
      </c>
      <c r="U67" s="59">
        <v>41824</v>
      </c>
      <c r="V67" s="236">
        <f>1407+1016+1151+4143+1004+1710+2915+2022+530</f>
        <v>15898</v>
      </c>
      <c r="W67" s="179">
        <v>1</v>
      </c>
      <c r="X67" s="179">
        <v>1</v>
      </c>
      <c r="Y67" s="236">
        <f>1407+1016+1151+4143+1004+1710+2915+2022+5441</f>
        <v>20809</v>
      </c>
      <c r="Z67" s="179">
        <v>1</v>
      </c>
      <c r="AA67" s="179">
        <v>1</v>
      </c>
      <c r="AB67" s="236">
        <f>1407+1016+1151+4143+1004+1710+2915+2022+5441+5046</f>
        <v>25855</v>
      </c>
      <c r="AC67" s="179">
        <v>1</v>
      </c>
      <c r="AD67" s="179">
        <v>1</v>
      </c>
      <c r="AE67" s="236">
        <f>1407+1016+1151+4143+1004+1710+2915+2022+5441+5046+1639</f>
        <v>27494</v>
      </c>
      <c r="AF67" s="179">
        <v>1</v>
      </c>
      <c r="AG67" s="179">
        <v>1</v>
      </c>
      <c r="AH67" s="236">
        <f>1407+1016+1151+4143+1004+1710+2915+2022+5441+5046+1639+2143</f>
        <v>29637</v>
      </c>
      <c r="AI67" s="179">
        <v>1</v>
      </c>
      <c r="AJ67" s="179">
        <v>1</v>
      </c>
      <c r="AK67" s="436"/>
      <c r="AL67" s="437"/>
      <c r="AM67" s="437"/>
      <c r="AN67" s="600"/>
      <c r="AO67" s="568"/>
      <c r="AP67" s="566"/>
      <c r="AQ67" s="566"/>
      <c r="AR67" s="68" t="s">
        <v>489</v>
      </c>
      <c r="AS67" s="607"/>
      <c r="AT67" s="30"/>
      <c r="AU67" s="134">
        <v>0.2</v>
      </c>
      <c r="AV67" s="123">
        <v>44958</v>
      </c>
      <c r="AW67" s="124">
        <v>45275</v>
      </c>
      <c r="AX67" s="29">
        <f t="shared" si="10"/>
        <v>317</v>
      </c>
      <c r="AY67" s="607">
        <v>11000</v>
      </c>
      <c r="AZ67" s="607">
        <v>1407</v>
      </c>
      <c r="BA67" s="236">
        <f>1407+1016+1151+4143+1004+1710+2915+2022</f>
        <v>15368</v>
      </c>
      <c r="BB67" s="179">
        <v>1</v>
      </c>
      <c r="BC67" s="344"/>
      <c r="BD67" s="236">
        <f>1407+1016+1151+4143+1004+1710+2915+2022+5441</f>
        <v>20809</v>
      </c>
      <c r="BE67" s="179">
        <v>1</v>
      </c>
      <c r="BF67" s="344"/>
      <c r="BG67" s="236">
        <f>1407+1016+1151+4143+1004+1710+2915+2022+5441+5046</f>
        <v>25855</v>
      </c>
      <c r="BH67" s="179">
        <v>1</v>
      </c>
      <c r="BI67" s="344"/>
      <c r="BJ67" s="236">
        <f>1407+1016+1151+4143+1004+1710+2915+2022+5441+5046+1639</f>
        <v>27494</v>
      </c>
      <c r="BK67" s="179">
        <v>1</v>
      </c>
      <c r="BL67" s="344"/>
      <c r="BM67" s="236">
        <f>1407+1016+1151+4143+1004+1710+2915+2022+5441+5046+1639+2143</f>
        <v>29637</v>
      </c>
      <c r="BN67" s="179">
        <v>1</v>
      </c>
      <c r="BO67" s="344"/>
      <c r="BP67" s="566"/>
      <c r="BQ67" s="566"/>
      <c r="BR67" s="566"/>
      <c r="BS67" s="62">
        <v>362335481.64569402</v>
      </c>
      <c r="BT67" s="40" t="s">
        <v>205</v>
      </c>
      <c r="BU67" s="566"/>
      <c r="BV67" s="566"/>
      <c r="BW67" s="745"/>
      <c r="BX67" s="745"/>
      <c r="BY67" s="746"/>
      <c r="BZ67" s="715"/>
      <c r="CA67" s="564"/>
      <c r="CB67" s="564"/>
      <c r="CC67" s="576"/>
      <c r="CD67" s="576"/>
      <c r="CE67" s="444"/>
      <c r="CF67" s="444"/>
      <c r="CG67" s="694"/>
      <c r="CH67" s="444"/>
      <c r="CI67" s="444"/>
      <c r="CJ67" s="694"/>
      <c r="CK67" s="444"/>
      <c r="CL67" s="444"/>
      <c r="CM67" s="694"/>
      <c r="CN67" s="412"/>
      <c r="CO67" s="412"/>
      <c r="CP67" s="404"/>
      <c r="CQ67" s="412"/>
      <c r="CR67" s="412"/>
      <c r="CS67" s="404"/>
      <c r="CT67" s="433"/>
      <c r="CU67" s="433"/>
      <c r="CV67" s="404"/>
      <c r="CW67" s="400"/>
      <c r="CX67" s="400"/>
      <c r="CY67" s="404"/>
      <c r="CZ67" s="415"/>
      <c r="DA67" s="415"/>
      <c r="DB67" s="415"/>
      <c r="DC67" s="404"/>
      <c r="DD67" s="404"/>
      <c r="DE67" s="400"/>
      <c r="DF67" s="400"/>
      <c r="DG67" s="404"/>
      <c r="DH67" s="400"/>
      <c r="DI67" s="400"/>
      <c r="DJ67" s="404"/>
      <c r="DK67" s="400"/>
      <c r="DL67" s="400"/>
      <c r="DM67" s="404"/>
      <c r="DN67" s="48" t="s">
        <v>208</v>
      </c>
      <c r="DO67" s="40" t="s">
        <v>490</v>
      </c>
      <c r="DP67" s="61" t="s">
        <v>478</v>
      </c>
      <c r="DQ67" s="66" t="s">
        <v>291</v>
      </c>
      <c r="DR67" s="71">
        <v>44927</v>
      </c>
      <c r="DS67" s="492"/>
      <c r="DT67" s="502"/>
      <c r="DU67" s="309"/>
      <c r="DV67" s="164" t="s">
        <v>491</v>
      </c>
      <c r="DW67" s="164" t="s">
        <v>492</v>
      </c>
      <c r="DX67" s="164" t="s">
        <v>493</v>
      </c>
      <c r="DY67" s="164" t="s">
        <v>494</v>
      </c>
      <c r="DZ67" s="164" t="s">
        <v>495</v>
      </c>
      <c r="EA67" s="164" t="s">
        <v>495</v>
      </c>
      <c r="EB67" s="164" t="s">
        <v>496</v>
      </c>
      <c r="EC67" s="164" t="s">
        <v>750</v>
      </c>
      <c r="ED67" s="164" t="s">
        <v>789</v>
      </c>
      <c r="EE67" s="492"/>
      <c r="EF67" s="492"/>
    </row>
    <row r="68" spans="1:136" ht="50.25" customHeight="1" x14ac:dyDescent="0.4">
      <c r="A68" s="633"/>
      <c r="B68" s="633"/>
      <c r="C68" s="633"/>
      <c r="D68" s="610"/>
      <c r="E68" s="436"/>
      <c r="F68" s="610"/>
      <c r="G68" s="436"/>
      <c r="H68" s="436"/>
      <c r="I68" s="436"/>
      <c r="J68" s="436"/>
      <c r="K68" s="568"/>
      <c r="L68" s="610" t="s">
        <v>497</v>
      </c>
      <c r="M68" s="610" t="s">
        <v>189</v>
      </c>
      <c r="N68" s="626">
        <v>16</v>
      </c>
      <c r="O68" s="610" t="s">
        <v>498</v>
      </c>
      <c r="P68" s="627"/>
      <c r="Q68" s="610" t="s">
        <v>251</v>
      </c>
      <c r="R68" s="610" t="s">
        <v>252</v>
      </c>
      <c r="S68" s="614">
        <v>17</v>
      </c>
      <c r="T68" s="614">
        <v>15</v>
      </c>
      <c r="U68" s="614">
        <v>46</v>
      </c>
      <c r="V68" s="353">
        <f>2+4+1+2+4</f>
        <v>13</v>
      </c>
      <c r="W68" s="332">
        <f>V68/T68</f>
        <v>0.8666666666666667</v>
      </c>
      <c r="X68" s="332">
        <v>1</v>
      </c>
      <c r="Y68" s="353">
        <f>2+4+1+2+4+4</f>
        <v>17</v>
      </c>
      <c r="Z68" s="332">
        <f>Y68/S68</f>
        <v>1</v>
      </c>
      <c r="AA68" s="332">
        <v>1</v>
      </c>
      <c r="AB68" s="353">
        <f>2+4+1+2+4+4+3</f>
        <v>20</v>
      </c>
      <c r="AC68" s="332">
        <v>1</v>
      </c>
      <c r="AD68" s="332">
        <v>1</v>
      </c>
      <c r="AE68" s="353">
        <f>2+4+1+2+4+4+3+2</f>
        <v>22</v>
      </c>
      <c r="AF68" s="332">
        <v>1</v>
      </c>
      <c r="AG68" s="332">
        <v>1</v>
      </c>
      <c r="AH68" s="353">
        <f>2+4+1+2+4+4+3+2+2</f>
        <v>24</v>
      </c>
      <c r="AI68" s="332">
        <v>1</v>
      </c>
      <c r="AJ68" s="332">
        <v>1</v>
      </c>
      <c r="AK68" s="436"/>
      <c r="AL68" s="437"/>
      <c r="AM68" s="437"/>
      <c r="AN68" s="600"/>
      <c r="AO68" s="568"/>
      <c r="AP68" s="566"/>
      <c r="AQ68" s="566"/>
      <c r="AR68" s="68" t="s">
        <v>499</v>
      </c>
      <c r="AS68" s="607"/>
      <c r="AT68" s="31"/>
      <c r="AU68" s="134">
        <v>0.05</v>
      </c>
      <c r="AV68" s="123">
        <v>44958</v>
      </c>
      <c r="AW68" s="124">
        <v>45275</v>
      </c>
      <c r="AX68" s="29">
        <f t="shared" si="10"/>
        <v>317</v>
      </c>
      <c r="AY68" s="607"/>
      <c r="AZ68" s="607"/>
      <c r="BA68" s="353">
        <f>2+4+1+2+4</f>
        <v>13</v>
      </c>
      <c r="BB68" s="360">
        <f>BA68/T68</f>
        <v>0.8666666666666667</v>
      </c>
      <c r="BC68" s="344"/>
      <c r="BD68" s="353">
        <f>2+4+1+2+4+4</f>
        <v>17</v>
      </c>
      <c r="BE68" s="360">
        <v>1</v>
      </c>
      <c r="BF68" s="344"/>
      <c r="BG68" s="353">
        <f>2+4+1+2+4+4+3</f>
        <v>20</v>
      </c>
      <c r="BH68" s="360">
        <v>1</v>
      </c>
      <c r="BI68" s="344"/>
      <c r="BJ68" s="353">
        <f>2+4+1+2+4+4+3+2</f>
        <v>22</v>
      </c>
      <c r="BK68" s="360">
        <v>1</v>
      </c>
      <c r="BL68" s="344"/>
      <c r="BM68" s="353">
        <f>2+4+1+2+4+4+3+2+2</f>
        <v>24</v>
      </c>
      <c r="BN68" s="360">
        <v>1</v>
      </c>
      <c r="BO68" s="344"/>
      <c r="BP68" s="566"/>
      <c r="BQ68" s="566"/>
      <c r="BR68" s="566"/>
      <c r="BS68" s="60">
        <v>29870000</v>
      </c>
      <c r="BT68" s="80" t="s">
        <v>291</v>
      </c>
      <c r="BU68" s="566"/>
      <c r="BV68" s="566"/>
      <c r="BW68" s="745"/>
      <c r="BX68" s="745"/>
      <c r="BY68" s="746"/>
      <c r="BZ68" s="715"/>
      <c r="CA68" s="564"/>
      <c r="CB68" s="564"/>
      <c r="CC68" s="576"/>
      <c r="CD68" s="576"/>
      <c r="CE68" s="444"/>
      <c r="CF68" s="444"/>
      <c r="CG68" s="694"/>
      <c r="CH68" s="444"/>
      <c r="CI68" s="444"/>
      <c r="CJ68" s="694"/>
      <c r="CK68" s="444"/>
      <c r="CL68" s="444"/>
      <c r="CM68" s="694"/>
      <c r="CN68" s="412"/>
      <c r="CO68" s="412"/>
      <c r="CP68" s="404"/>
      <c r="CQ68" s="412"/>
      <c r="CR68" s="412"/>
      <c r="CS68" s="404"/>
      <c r="CT68" s="433"/>
      <c r="CU68" s="433"/>
      <c r="CV68" s="404"/>
      <c r="CW68" s="400"/>
      <c r="CX68" s="400"/>
      <c r="CY68" s="404"/>
      <c r="CZ68" s="415"/>
      <c r="DA68" s="415"/>
      <c r="DB68" s="415"/>
      <c r="DC68" s="404"/>
      <c r="DD68" s="404"/>
      <c r="DE68" s="400"/>
      <c r="DF68" s="400"/>
      <c r="DG68" s="404"/>
      <c r="DH68" s="400"/>
      <c r="DI68" s="400"/>
      <c r="DJ68" s="404"/>
      <c r="DK68" s="400"/>
      <c r="DL68" s="400"/>
      <c r="DM68" s="404"/>
      <c r="DN68" s="48" t="s">
        <v>208</v>
      </c>
      <c r="DO68" s="40" t="s">
        <v>209</v>
      </c>
      <c r="DP68" s="61" t="s">
        <v>210</v>
      </c>
      <c r="DQ68" s="66" t="s">
        <v>291</v>
      </c>
      <c r="DR68" s="71">
        <v>44927</v>
      </c>
      <c r="DS68" s="492"/>
      <c r="DT68" s="79" t="s">
        <v>500</v>
      </c>
      <c r="DU68" s="83" t="s">
        <v>501</v>
      </c>
      <c r="DV68" s="506" t="s">
        <v>502</v>
      </c>
      <c r="DW68" s="506" t="s">
        <v>492</v>
      </c>
      <c r="DX68" s="506" t="s">
        <v>503</v>
      </c>
      <c r="DY68" s="431" t="s">
        <v>504</v>
      </c>
      <c r="DZ68" s="431" t="s">
        <v>505</v>
      </c>
      <c r="EA68" s="431" t="s">
        <v>505</v>
      </c>
      <c r="EB68" s="431" t="s">
        <v>496</v>
      </c>
      <c r="EC68" s="326" t="s">
        <v>750</v>
      </c>
      <c r="ED68" s="326" t="s">
        <v>789</v>
      </c>
      <c r="EE68" s="492"/>
      <c r="EF68" s="492"/>
    </row>
    <row r="69" spans="1:136" ht="195" customHeight="1" x14ac:dyDescent="0.4">
      <c r="A69" s="633"/>
      <c r="B69" s="633"/>
      <c r="C69" s="633"/>
      <c r="D69" s="610"/>
      <c r="E69" s="436"/>
      <c r="F69" s="610"/>
      <c r="G69" s="436"/>
      <c r="H69" s="436"/>
      <c r="I69" s="436"/>
      <c r="J69" s="436"/>
      <c r="K69" s="568"/>
      <c r="L69" s="610"/>
      <c r="M69" s="610"/>
      <c r="N69" s="626"/>
      <c r="O69" s="610"/>
      <c r="P69" s="610"/>
      <c r="Q69" s="610"/>
      <c r="R69" s="610"/>
      <c r="S69" s="614"/>
      <c r="T69" s="614"/>
      <c r="U69" s="614"/>
      <c r="V69" s="353"/>
      <c r="W69" s="332"/>
      <c r="X69" s="332"/>
      <c r="Y69" s="353"/>
      <c r="Z69" s="332"/>
      <c r="AA69" s="332"/>
      <c r="AB69" s="353"/>
      <c r="AC69" s="332"/>
      <c r="AD69" s="332"/>
      <c r="AE69" s="353"/>
      <c r="AF69" s="332"/>
      <c r="AG69" s="332"/>
      <c r="AH69" s="353"/>
      <c r="AI69" s="332"/>
      <c r="AJ69" s="332"/>
      <c r="AK69" s="436"/>
      <c r="AL69" s="437"/>
      <c r="AM69" s="437"/>
      <c r="AN69" s="600"/>
      <c r="AO69" s="568"/>
      <c r="AP69" s="566"/>
      <c r="AQ69" s="566"/>
      <c r="AR69" s="68" t="s">
        <v>506</v>
      </c>
      <c r="AS69" s="607"/>
      <c r="AT69" s="31"/>
      <c r="AU69" s="134">
        <v>0.12</v>
      </c>
      <c r="AV69" s="123">
        <v>44958</v>
      </c>
      <c r="AW69" s="124">
        <v>45275</v>
      </c>
      <c r="AX69" s="29">
        <f t="shared" si="10"/>
        <v>317</v>
      </c>
      <c r="AY69" s="607"/>
      <c r="AZ69" s="607"/>
      <c r="BA69" s="353"/>
      <c r="BB69" s="362"/>
      <c r="BC69" s="344"/>
      <c r="BD69" s="353"/>
      <c r="BE69" s="362"/>
      <c r="BF69" s="344"/>
      <c r="BG69" s="353"/>
      <c r="BH69" s="362"/>
      <c r="BI69" s="344"/>
      <c r="BJ69" s="353"/>
      <c r="BK69" s="362"/>
      <c r="BL69" s="344"/>
      <c r="BM69" s="353"/>
      <c r="BN69" s="362"/>
      <c r="BO69" s="344"/>
      <c r="BP69" s="566"/>
      <c r="BQ69" s="566"/>
      <c r="BR69" s="566"/>
      <c r="BS69" s="60">
        <v>356870000</v>
      </c>
      <c r="BT69" s="40" t="s">
        <v>291</v>
      </c>
      <c r="BU69" s="566"/>
      <c r="BV69" s="566"/>
      <c r="BW69" s="745"/>
      <c r="BX69" s="745"/>
      <c r="BY69" s="746"/>
      <c r="BZ69" s="716"/>
      <c r="CA69" s="565"/>
      <c r="CB69" s="565"/>
      <c r="CC69" s="577"/>
      <c r="CD69" s="577"/>
      <c r="CE69" s="445"/>
      <c r="CF69" s="445"/>
      <c r="CG69" s="695"/>
      <c r="CH69" s="445"/>
      <c r="CI69" s="445"/>
      <c r="CJ69" s="695"/>
      <c r="CK69" s="445"/>
      <c r="CL69" s="445"/>
      <c r="CM69" s="695"/>
      <c r="CN69" s="413"/>
      <c r="CO69" s="413"/>
      <c r="CP69" s="405"/>
      <c r="CQ69" s="413"/>
      <c r="CR69" s="413"/>
      <c r="CS69" s="405"/>
      <c r="CT69" s="434"/>
      <c r="CU69" s="434"/>
      <c r="CV69" s="405"/>
      <c r="CW69" s="401"/>
      <c r="CX69" s="401"/>
      <c r="CY69" s="405"/>
      <c r="CZ69" s="416"/>
      <c r="DA69" s="416"/>
      <c r="DB69" s="416"/>
      <c r="DC69" s="405"/>
      <c r="DD69" s="405"/>
      <c r="DE69" s="401"/>
      <c r="DF69" s="401"/>
      <c r="DG69" s="405"/>
      <c r="DH69" s="401"/>
      <c r="DI69" s="401"/>
      <c r="DJ69" s="405"/>
      <c r="DK69" s="401"/>
      <c r="DL69" s="401"/>
      <c r="DM69" s="405"/>
      <c r="DN69" s="48" t="s">
        <v>208</v>
      </c>
      <c r="DO69" s="40" t="s">
        <v>507</v>
      </c>
      <c r="DP69" s="61" t="s">
        <v>478</v>
      </c>
      <c r="DQ69" s="66" t="s">
        <v>291</v>
      </c>
      <c r="DR69" s="71">
        <v>44927</v>
      </c>
      <c r="DS69" s="493"/>
      <c r="DT69" s="79" t="s">
        <v>444</v>
      </c>
      <c r="DU69" s="84" t="s">
        <v>508</v>
      </c>
      <c r="DV69" s="507"/>
      <c r="DW69" s="507"/>
      <c r="DX69" s="507"/>
      <c r="DY69" s="432"/>
      <c r="DZ69" s="432"/>
      <c r="EA69" s="432"/>
      <c r="EB69" s="432"/>
      <c r="EC69" s="327"/>
      <c r="ED69" s="327"/>
      <c r="EE69" s="493"/>
      <c r="EF69" s="493"/>
    </row>
    <row r="70" spans="1:136" s="100" customFormat="1" ht="50.25" customHeight="1" x14ac:dyDescent="0.5">
      <c r="A70" s="633"/>
      <c r="B70" s="633"/>
      <c r="C70" s="633"/>
      <c r="D70" s="610"/>
      <c r="E70" s="436"/>
      <c r="F70" s="610"/>
      <c r="G70" s="436"/>
      <c r="H70" s="436"/>
      <c r="I70" s="436"/>
      <c r="J70" s="436"/>
      <c r="K70" s="102" t="s">
        <v>281</v>
      </c>
      <c r="L70" s="102"/>
      <c r="M70" s="102"/>
      <c r="N70" s="233"/>
      <c r="O70" s="102"/>
      <c r="P70" s="102"/>
      <c r="Q70" s="102"/>
      <c r="R70" s="102"/>
      <c r="S70" s="115"/>
      <c r="T70" s="115"/>
      <c r="U70" s="115"/>
      <c r="V70" s="168"/>
      <c r="W70" s="78">
        <f>+AVERAGE(W60:W69)</f>
        <v>0.9555555555555556</v>
      </c>
      <c r="X70" s="78">
        <f>+AVERAGE(X60:X69)</f>
        <v>1</v>
      </c>
      <c r="Y70" s="168"/>
      <c r="Z70" s="78">
        <f>+AVERAGE(Z60:Z69)</f>
        <v>1</v>
      </c>
      <c r="AA70" s="78">
        <f>+AVERAGE(AA60:AA69)</f>
        <v>1</v>
      </c>
      <c r="AB70" s="168"/>
      <c r="AC70" s="78">
        <f>+AVERAGE(AC60:AC69)</f>
        <v>1</v>
      </c>
      <c r="AD70" s="78">
        <f>+AVERAGE(AD60:AD69)</f>
        <v>1</v>
      </c>
      <c r="AE70" s="168"/>
      <c r="AF70" s="78">
        <f>+AVERAGE(AF60:AF69)</f>
        <v>1</v>
      </c>
      <c r="AG70" s="78">
        <f>+AVERAGE(AG60:AG69)</f>
        <v>1</v>
      </c>
      <c r="AH70" s="168"/>
      <c r="AI70" s="78">
        <f>+AVERAGE(AI60:AI69)</f>
        <v>1</v>
      </c>
      <c r="AJ70" s="78">
        <f>+AVERAGE(AJ60:AJ69)</f>
        <v>1</v>
      </c>
      <c r="AK70" s="102"/>
      <c r="AL70" s="103"/>
      <c r="AM70" s="103"/>
      <c r="AN70" s="121"/>
      <c r="AO70" s="121"/>
      <c r="AP70" s="116"/>
      <c r="AQ70" s="106" t="s">
        <v>282</v>
      </c>
      <c r="AR70" s="130"/>
      <c r="AS70" s="106"/>
      <c r="AT70" s="106"/>
      <c r="AU70" s="244"/>
      <c r="AV70" s="125"/>
      <c r="AW70" s="126"/>
      <c r="AX70" s="107"/>
      <c r="AY70" s="99"/>
      <c r="AZ70" s="99"/>
      <c r="BA70" s="168"/>
      <c r="BB70" s="78">
        <f>+AVERAGE(BB60:BB69)</f>
        <v>0.9555555555555556</v>
      </c>
      <c r="BC70" s="78">
        <f>+AVERAGE(BC60:BC69)</f>
        <v>0.9555555555555556</v>
      </c>
      <c r="BD70" s="168"/>
      <c r="BE70" s="78">
        <f>+AVERAGE(BE60:BE69)</f>
        <v>1</v>
      </c>
      <c r="BF70" s="78">
        <f>+AVERAGE(BF60:BF69)</f>
        <v>1</v>
      </c>
      <c r="BG70" s="168"/>
      <c r="BH70" s="78">
        <f>+AVERAGE(BH60:BH69)</f>
        <v>1</v>
      </c>
      <c r="BI70" s="78">
        <f>+AVERAGE(BI60:BI69)</f>
        <v>1</v>
      </c>
      <c r="BJ70" s="168"/>
      <c r="BK70" s="78">
        <f>+AVERAGE(BK60:BK69)</f>
        <v>1</v>
      </c>
      <c r="BL70" s="78">
        <f>+AVERAGE(BL60:BL69)</f>
        <v>1</v>
      </c>
      <c r="BM70" s="168"/>
      <c r="BN70" s="78">
        <f>+AVERAGE(BN60:BN69)</f>
        <v>1</v>
      </c>
      <c r="BO70" s="78">
        <f>+AVERAGE(BO60:BO69)</f>
        <v>1</v>
      </c>
      <c r="BP70" s="116"/>
      <c r="BQ70" s="116"/>
      <c r="BR70" s="116"/>
      <c r="BS70" s="116"/>
      <c r="BT70" s="116"/>
      <c r="BU70" s="116"/>
      <c r="BV70" s="116"/>
      <c r="BW70" s="117">
        <f t="shared" ref="BW70:BY70" si="11">BW60</f>
        <v>2006706049</v>
      </c>
      <c r="BX70" s="117">
        <f t="shared" si="11"/>
        <v>906437667</v>
      </c>
      <c r="BY70" s="118">
        <f t="shared" si="11"/>
        <v>0.45170425805598396</v>
      </c>
      <c r="BZ70" s="146">
        <v>2006706049</v>
      </c>
      <c r="CA70" s="146">
        <v>906437669</v>
      </c>
      <c r="CB70" s="146">
        <v>275710400</v>
      </c>
      <c r="CC70" s="147">
        <f>CA70/BZ70</f>
        <v>0.45170425905264217</v>
      </c>
      <c r="CD70" s="147">
        <f>CB70/BZ70</f>
        <v>0.13739451283230772</v>
      </c>
      <c r="CE70" s="117">
        <v>2006706049</v>
      </c>
      <c r="CF70" s="117">
        <v>906437667</v>
      </c>
      <c r="CG70" s="118">
        <f>CF70/CE70</f>
        <v>0.45170425805598396</v>
      </c>
      <c r="CH70" s="117">
        <v>2006706049</v>
      </c>
      <c r="CI70" s="117">
        <v>891037667</v>
      </c>
      <c r="CJ70" s="118">
        <f>CI70/CH70</f>
        <v>0.44402999006457872</v>
      </c>
      <c r="CK70" s="117">
        <v>2006706049</v>
      </c>
      <c r="CL70" s="117">
        <v>891037667</v>
      </c>
      <c r="CM70" s="118">
        <f>CL70/CK70</f>
        <v>0.44402999006457872</v>
      </c>
      <c r="CN70" s="117">
        <v>2006706049</v>
      </c>
      <c r="CO70" s="117">
        <f>CO60</f>
        <v>994990667</v>
      </c>
      <c r="CP70" s="118">
        <f>CO70/CN70</f>
        <v>0.49583279399383523</v>
      </c>
      <c r="CQ70" s="117">
        <v>2006706049</v>
      </c>
      <c r="CR70" s="117">
        <f>CR60</f>
        <v>1050240667</v>
      </c>
      <c r="CS70" s="118">
        <f>CO70/CN70</f>
        <v>0.49583279399383523</v>
      </c>
      <c r="CT70" s="117">
        <f>CT60</f>
        <v>2006706049</v>
      </c>
      <c r="CU70" s="117">
        <f>CU60</f>
        <v>1050240667</v>
      </c>
      <c r="CV70" s="118">
        <f>CR70/CQ70</f>
        <v>0.52336547623572749</v>
      </c>
      <c r="CW70" s="117">
        <f>CW60</f>
        <v>2006706049</v>
      </c>
      <c r="CX70" s="117">
        <f>CX60</f>
        <v>1106746151.6700001</v>
      </c>
      <c r="CY70" s="118">
        <f>CX70/CW70</f>
        <v>0.55152380301117043</v>
      </c>
      <c r="CZ70" s="146">
        <v>2006706049</v>
      </c>
      <c r="DA70" s="146">
        <v>1681139675</v>
      </c>
      <c r="DB70" s="146">
        <v>1473858665</v>
      </c>
      <c r="DC70" s="118">
        <f>DA70/CZ70</f>
        <v>0.83776080499570971</v>
      </c>
      <c r="DD70" s="118">
        <f>DB70/CZ70</f>
        <v>0.73446664783537507</v>
      </c>
      <c r="DE70" s="117">
        <f>DE60</f>
        <v>2006706049</v>
      </c>
      <c r="DF70" s="117">
        <f>DF60</f>
        <v>1744792927</v>
      </c>
      <c r="DG70" s="118">
        <f>DF70/DE70</f>
        <v>0.86948107216275206</v>
      </c>
      <c r="DH70" s="117">
        <f>DH60</f>
        <v>2006706049</v>
      </c>
      <c r="DI70" s="117">
        <f>DI60</f>
        <v>1916878093</v>
      </c>
      <c r="DJ70" s="118">
        <f>DI70/DH70</f>
        <v>0.9552361163984312</v>
      </c>
      <c r="DK70" s="117">
        <f>DK60</f>
        <v>2006706049</v>
      </c>
      <c r="DL70" s="117">
        <f>DL60</f>
        <v>1758199743.6900001</v>
      </c>
      <c r="DM70" s="118">
        <f>DL70/DK70</f>
        <v>0.87616207892838227</v>
      </c>
      <c r="DN70" s="116"/>
      <c r="DO70" s="116"/>
      <c r="DP70" s="110"/>
      <c r="DQ70" s="111"/>
      <c r="DR70" s="110"/>
      <c r="DS70" s="110"/>
      <c r="DT70" s="110"/>
      <c r="DU70" s="110"/>
      <c r="DV70" s="110"/>
      <c r="DW70" s="110"/>
      <c r="DX70" s="110"/>
      <c r="DY70" s="110"/>
      <c r="DZ70" s="110"/>
      <c r="EA70" s="110"/>
      <c r="EB70" s="110"/>
      <c r="EC70" s="110"/>
      <c r="ED70" s="110"/>
      <c r="EE70" s="110"/>
      <c r="EF70" s="110"/>
    </row>
    <row r="71" spans="1:136" ht="142.15" customHeight="1" x14ac:dyDescent="0.4">
      <c r="A71" s="633"/>
      <c r="B71" s="633"/>
      <c r="C71" s="633"/>
      <c r="D71" s="621" t="s">
        <v>188</v>
      </c>
      <c r="E71" s="376">
        <v>1049212</v>
      </c>
      <c r="F71" s="621" t="s">
        <v>188</v>
      </c>
      <c r="G71" s="376">
        <v>136397.56</v>
      </c>
      <c r="H71" s="376" t="s">
        <v>189</v>
      </c>
      <c r="I71" s="376">
        <f>+I9</f>
        <v>33044</v>
      </c>
      <c r="J71" s="376">
        <f>+J9</f>
        <v>192073</v>
      </c>
      <c r="K71" s="568" t="s">
        <v>509</v>
      </c>
      <c r="L71" s="38" t="s">
        <v>510</v>
      </c>
      <c r="M71" s="37" t="s">
        <v>189</v>
      </c>
      <c r="N71" s="30">
        <v>0</v>
      </c>
      <c r="O71" s="37" t="s">
        <v>511</v>
      </c>
      <c r="P71" s="615" t="s">
        <v>193</v>
      </c>
      <c r="Q71" s="615"/>
      <c r="R71" s="615" t="s">
        <v>512</v>
      </c>
      <c r="S71" s="30">
        <v>4</v>
      </c>
      <c r="T71" s="30">
        <v>1</v>
      </c>
      <c r="U71" s="30">
        <v>5</v>
      </c>
      <c r="V71" s="240">
        <v>0.5</v>
      </c>
      <c r="W71" s="36">
        <f>V71/T71</f>
        <v>0.5</v>
      </c>
      <c r="X71" s="36">
        <v>1</v>
      </c>
      <c r="Y71" s="240">
        <f>0.5+0.5</f>
        <v>1</v>
      </c>
      <c r="Z71" s="36">
        <f>Y71/T71</f>
        <v>1</v>
      </c>
      <c r="AA71" s="36">
        <v>1</v>
      </c>
      <c r="AB71" s="240">
        <f>0.5+0.5</f>
        <v>1</v>
      </c>
      <c r="AC71" s="36">
        <f>AB71/T71</f>
        <v>1</v>
      </c>
      <c r="AD71" s="36">
        <v>1</v>
      </c>
      <c r="AE71" s="240">
        <f>0.5+0.5</f>
        <v>1</v>
      </c>
      <c r="AF71" s="36">
        <f>AE71/T71</f>
        <v>1</v>
      </c>
      <c r="AG71" s="36">
        <v>1</v>
      </c>
      <c r="AH71" s="122">
        <v>1</v>
      </c>
      <c r="AI71" s="36">
        <f>AH71/T71</f>
        <v>1</v>
      </c>
      <c r="AJ71" s="36">
        <v>1</v>
      </c>
      <c r="AK71" s="436" t="s">
        <v>513</v>
      </c>
      <c r="AL71" s="437" t="s">
        <v>514</v>
      </c>
      <c r="AM71" s="437" t="s">
        <v>197</v>
      </c>
      <c r="AN71" s="600" t="s">
        <v>515</v>
      </c>
      <c r="AO71" s="600" t="s">
        <v>516</v>
      </c>
      <c r="AP71" s="435">
        <v>2021130010270</v>
      </c>
      <c r="AQ71" s="435" t="s">
        <v>517</v>
      </c>
      <c r="AR71" s="68" t="s">
        <v>518</v>
      </c>
      <c r="AS71" s="42"/>
      <c r="AT71" s="43"/>
      <c r="AU71" s="134">
        <v>0.15</v>
      </c>
      <c r="AV71" s="123">
        <v>44958</v>
      </c>
      <c r="AW71" s="124">
        <v>45275</v>
      </c>
      <c r="AX71" s="29">
        <f t="shared" ref="AX71:AX79" si="12">+AW71-AV71</f>
        <v>317</v>
      </c>
      <c r="AY71" s="42" t="s">
        <v>238</v>
      </c>
      <c r="AZ71" s="42" t="s">
        <v>238</v>
      </c>
      <c r="BA71" s="240">
        <v>0.5</v>
      </c>
      <c r="BB71" s="36">
        <f>BA71/T71</f>
        <v>0.5</v>
      </c>
      <c r="BC71" s="345">
        <f>+AVERAGE(BB71:BB79)</f>
        <v>0.57715277777777774</v>
      </c>
      <c r="BD71" s="240">
        <f>0.5+0.5</f>
        <v>1</v>
      </c>
      <c r="BE71" s="36">
        <v>1</v>
      </c>
      <c r="BF71" s="345">
        <f>+AVERAGE(BE71:BE78)</f>
        <v>0.74663333333333326</v>
      </c>
      <c r="BG71" s="240">
        <f>0.5+0.5</f>
        <v>1</v>
      </c>
      <c r="BH71" s="36">
        <v>1</v>
      </c>
      <c r="BI71" s="345">
        <f>+AVERAGE(BH71:BH78)</f>
        <v>0.76393333333333335</v>
      </c>
      <c r="BJ71" s="240">
        <f>0.5+0.5</f>
        <v>1</v>
      </c>
      <c r="BK71" s="36">
        <v>1</v>
      </c>
      <c r="BL71" s="345">
        <f>+AVERAGE(BK71:BK78)</f>
        <v>0.87078333333333335</v>
      </c>
      <c r="BM71" s="122">
        <v>1</v>
      </c>
      <c r="BN71" s="36">
        <v>1</v>
      </c>
      <c r="BO71" s="345">
        <f>+AVERAGE(BN71:BN78)</f>
        <v>0.87203333333333344</v>
      </c>
      <c r="BP71" s="435" t="s">
        <v>202</v>
      </c>
      <c r="BQ71" s="435" t="s">
        <v>203</v>
      </c>
      <c r="BR71" s="435" t="s">
        <v>204</v>
      </c>
      <c r="BS71" s="60">
        <v>82361100</v>
      </c>
      <c r="BT71" s="67" t="s">
        <v>291</v>
      </c>
      <c r="BU71" s="435" t="s">
        <v>516</v>
      </c>
      <c r="BV71" s="435" t="s">
        <v>519</v>
      </c>
      <c r="BW71" s="747">
        <v>651767695</v>
      </c>
      <c r="BX71" s="747">
        <v>221194000</v>
      </c>
      <c r="BY71" s="748">
        <f>BX71/BW71</f>
        <v>0.33937551937120786</v>
      </c>
      <c r="BZ71" s="711">
        <v>651767695</v>
      </c>
      <c r="CA71" s="711">
        <v>222861100</v>
      </c>
      <c r="CB71" s="711">
        <v>0</v>
      </c>
      <c r="CC71" s="705">
        <f>CA71/BZ71</f>
        <v>0.34193333255033453</v>
      </c>
      <c r="CD71" s="705"/>
      <c r="CE71" s="481">
        <v>651767695</v>
      </c>
      <c r="CF71" s="481">
        <v>221194000</v>
      </c>
      <c r="CG71" s="484">
        <f>CF71/CE71</f>
        <v>0.33937551937120786</v>
      </c>
      <c r="CH71" s="481">
        <v>651767695</v>
      </c>
      <c r="CI71" s="481">
        <v>221194000</v>
      </c>
      <c r="CJ71" s="484">
        <f>CI71/CH71</f>
        <v>0.33937551937120786</v>
      </c>
      <c r="CK71" s="481">
        <v>651767695</v>
      </c>
      <c r="CL71" s="481">
        <v>221194000</v>
      </c>
      <c r="CM71" s="484">
        <f>CL71/CK71</f>
        <v>0.33937551937120786</v>
      </c>
      <c r="CN71" s="402">
        <v>651767695</v>
      </c>
      <c r="CO71" s="402">
        <v>241194000</v>
      </c>
      <c r="CP71" s="403">
        <f>CO71/CN71</f>
        <v>0.37006129921796754</v>
      </c>
      <c r="CQ71" s="402">
        <v>651767695</v>
      </c>
      <c r="CR71" s="402">
        <v>241194000</v>
      </c>
      <c r="CS71" s="403">
        <f>CO71/CN71</f>
        <v>0.37006129921796754</v>
      </c>
      <c r="CT71" s="402">
        <v>651767695</v>
      </c>
      <c r="CU71" s="402">
        <v>247876900</v>
      </c>
      <c r="CV71" s="403">
        <f>CR71/CQ71</f>
        <v>0.37006129921796754</v>
      </c>
      <c r="CW71" s="402">
        <v>651767695</v>
      </c>
      <c r="CX71" s="402">
        <v>338545591.56999999</v>
      </c>
      <c r="CY71" s="403">
        <f>CX71/CW71</f>
        <v>0.51942677455040176</v>
      </c>
      <c r="CZ71" s="414">
        <v>651767695</v>
      </c>
      <c r="DA71" s="414">
        <v>400153914</v>
      </c>
      <c r="DB71" s="414">
        <v>310153914</v>
      </c>
      <c r="DC71" s="403">
        <f>DA71/CZ71</f>
        <v>0.61395174549116005</v>
      </c>
      <c r="DD71" s="403">
        <f>DB71/CZ71</f>
        <v>0.47586573618074152</v>
      </c>
      <c r="DE71" s="402">
        <v>651767695</v>
      </c>
      <c r="DF71" s="402">
        <v>402884507.56999999</v>
      </c>
      <c r="DG71" s="403">
        <f>DF71/DE71</f>
        <v>0.61814126514815992</v>
      </c>
      <c r="DH71" s="402">
        <v>651767695</v>
      </c>
      <c r="DI71" s="402">
        <v>406929317.56999999</v>
      </c>
      <c r="DJ71" s="403">
        <f>DI71/DH71</f>
        <v>0.62434717260725847</v>
      </c>
      <c r="DK71" s="402">
        <v>651767695</v>
      </c>
      <c r="DL71" s="402">
        <v>412140717.56999999</v>
      </c>
      <c r="DM71" s="403">
        <f>DL71/DK71</f>
        <v>0.63234296626192865</v>
      </c>
      <c r="DN71" s="48" t="s">
        <v>208</v>
      </c>
      <c r="DO71" s="40" t="s">
        <v>520</v>
      </c>
      <c r="DP71" s="61" t="s">
        <v>210</v>
      </c>
      <c r="DQ71" s="66" t="s">
        <v>291</v>
      </c>
      <c r="DR71" s="71">
        <v>44927</v>
      </c>
      <c r="DS71" s="496" t="s">
        <v>521</v>
      </c>
      <c r="DT71" s="315" t="s">
        <v>522</v>
      </c>
      <c r="DU71" s="68" t="s">
        <v>523</v>
      </c>
      <c r="DV71" s="68" t="s">
        <v>524</v>
      </c>
      <c r="DW71" s="68" t="s">
        <v>525</v>
      </c>
      <c r="DX71" s="82" t="s">
        <v>526</v>
      </c>
      <c r="DY71" s="82" t="s">
        <v>527</v>
      </c>
      <c r="DZ71" s="82" t="s">
        <v>528</v>
      </c>
      <c r="EA71" s="272" t="s">
        <v>529</v>
      </c>
      <c r="EB71" s="272" t="s">
        <v>530</v>
      </c>
      <c r="EC71" s="272" t="s">
        <v>748</v>
      </c>
      <c r="ED71" s="272" t="s">
        <v>791</v>
      </c>
      <c r="EE71" s="496" t="s">
        <v>221</v>
      </c>
      <c r="EF71" s="496" t="s">
        <v>306</v>
      </c>
    </row>
    <row r="72" spans="1:136" ht="50.25" customHeight="1" x14ac:dyDescent="0.4">
      <c r="A72" s="633"/>
      <c r="B72" s="633"/>
      <c r="C72" s="633"/>
      <c r="D72" s="621"/>
      <c r="E72" s="376"/>
      <c r="F72" s="621"/>
      <c r="G72" s="376"/>
      <c r="H72" s="376"/>
      <c r="I72" s="376"/>
      <c r="J72" s="376"/>
      <c r="K72" s="568"/>
      <c r="L72" s="624" t="s">
        <v>531</v>
      </c>
      <c r="M72" s="568" t="s">
        <v>189</v>
      </c>
      <c r="N72" s="625">
        <v>11147</v>
      </c>
      <c r="O72" s="568" t="s">
        <v>532</v>
      </c>
      <c r="P72" s="615"/>
      <c r="Q72" s="615"/>
      <c r="R72" s="615"/>
      <c r="S72" s="608">
        <v>16720</v>
      </c>
      <c r="T72" s="608">
        <v>4000</v>
      </c>
      <c r="U72" s="608">
        <v>21784</v>
      </c>
      <c r="V72" s="357">
        <f>438+601+64+15+67</f>
        <v>1185</v>
      </c>
      <c r="W72" s="333">
        <f>V72/T72</f>
        <v>0.29625000000000001</v>
      </c>
      <c r="X72" s="333">
        <v>1</v>
      </c>
      <c r="Y72" s="357">
        <f>438+601+64+15+67+81</f>
        <v>1266</v>
      </c>
      <c r="Z72" s="333">
        <f>Y72/T72</f>
        <v>0.3165</v>
      </c>
      <c r="AA72" s="333">
        <v>1</v>
      </c>
      <c r="AB72" s="357">
        <f>438+601+64+15+67+81+346</f>
        <v>1612</v>
      </c>
      <c r="AC72" s="333">
        <f>AB72/T72</f>
        <v>0.40300000000000002</v>
      </c>
      <c r="AD72" s="333">
        <v>1</v>
      </c>
      <c r="AE72" s="357">
        <f>438+601+64+15+67+81+346+1085</f>
        <v>2697</v>
      </c>
      <c r="AF72" s="333">
        <f>AE72/T72</f>
        <v>0.67425000000000002</v>
      </c>
      <c r="AG72" s="333">
        <v>1</v>
      </c>
      <c r="AH72" s="357">
        <f>438+601+64+15+67+81+346+1085+52+25</f>
        <v>2774</v>
      </c>
      <c r="AI72" s="333">
        <f>AH72/T72</f>
        <v>0.69350000000000001</v>
      </c>
      <c r="AJ72" s="333">
        <v>1</v>
      </c>
      <c r="AK72" s="436"/>
      <c r="AL72" s="437"/>
      <c r="AM72" s="437"/>
      <c r="AN72" s="600"/>
      <c r="AO72" s="600"/>
      <c r="AP72" s="435"/>
      <c r="AQ72" s="435"/>
      <c r="AR72" s="68" t="s">
        <v>271</v>
      </c>
      <c r="AS72" s="608"/>
      <c r="AT72" s="31"/>
      <c r="AU72" s="134">
        <v>0.05</v>
      </c>
      <c r="AV72" s="123">
        <v>44958</v>
      </c>
      <c r="AW72" s="124">
        <v>45275</v>
      </c>
      <c r="AX72" s="29">
        <f t="shared" si="12"/>
        <v>317</v>
      </c>
      <c r="AY72" s="608">
        <v>4000</v>
      </c>
      <c r="AZ72" s="613">
        <v>438</v>
      </c>
      <c r="BA72" s="377">
        <f>438+601+64+15+67</f>
        <v>1185</v>
      </c>
      <c r="BB72" s="334">
        <f>BA72/T72</f>
        <v>0.29625000000000001</v>
      </c>
      <c r="BC72" s="346"/>
      <c r="BD72" s="377">
        <f>438+601+64+15+67+81</f>
        <v>1266</v>
      </c>
      <c r="BE72" s="334">
        <f>BD72/T72</f>
        <v>0.3165</v>
      </c>
      <c r="BF72" s="346"/>
      <c r="BG72" s="377">
        <f>438+601+64+15+67+81+346</f>
        <v>1612</v>
      </c>
      <c r="BH72" s="334">
        <f>BG72/T72</f>
        <v>0.40300000000000002</v>
      </c>
      <c r="BI72" s="346"/>
      <c r="BJ72" s="377">
        <f>438+601+64+15+67+81+346+1085+52</f>
        <v>2749</v>
      </c>
      <c r="BK72" s="334">
        <f>BJ72/T72</f>
        <v>0.68725000000000003</v>
      </c>
      <c r="BL72" s="346"/>
      <c r="BM72" s="377">
        <f>438+601+64+15+67+81+346+1085+52+25</f>
        <v>2774</v>
      </c>
      <c r="BN72" s="334">
        <f>BM72/T72</f>
        <v>0.69350000000000001</v>
      </c>
      <c r="BO72" s="346"/>
      <c r="BP72" s="435"/>
      <c r="BQ72" s="435"/>
      <c r="BR72" s="435"/>
      <c r="BS72" s="62">
        <v>115118843.53</v>
      </c>
      <c r="BT72" s="67" t="s">
        <v>291</v>
      </c>
      <c r="BU72" s="435"/>
      <c r="BV72" s="435"/>
      <c r="BW72" s="747"/>
      <c r="BX72" s="747"/>
      <c r="BY72" s="748"/>
      <c r="BZ72" s="712"/>
      <c r="CA72" s="712"/>
      <c r="CB72" s="712"/>
      <c r="CC72" s="706"/>
      <c r="CD72" s="706"/>
      <c r="CE72" s="482"/>
      <c r="CF72" s="482"/>
      <c r="CG72" s="485"/>
      <c r="CH72" s="482"/>
      <c r="CI72" s="482"/>
      <c r="CJ72" s="485"/>
      <c r="CK72" s="482"/>
      <c r="CL72" s="482"/>
      <c r="CM72" s="485"/>
      <c r="CN72" s="412"/>
      <c r="CO72" s="412"/>
      <c r="CP72" s="404"/>
      <c r="CQ72" s="412"/>
      <c r="CR72" s="412"/>
      <c r="CS72" s="404"/>
      <c r="CT72" s="433"/>
      <c r="CU72" s="433"/>
      <c r="CV72" s="404"/>
      <c r="CW72" s="400"/>
      <c r="CX72" s="400"/>
      <c r="CY72" s="404"/>
      <c r="CZ72" s="415"/>
      <c r="DA72" s="415"/>
      <c r="DB72" s="415"/>
      <c r="DC72" s="404"/>
      <c r="DD72" s="404"/>
      <c r="DE72" s="400"/>
      <c r="DF72" s="400"/>
      <c r="DG72" s="404"/>
      <c r="DH72" s="400"/>
      <c r="DI72" s="400"/>
      <c r="DJ72" s="404"/>
      <c r="DK72" s="400"/>
      <c r="DL72" s="400"/>
      <c r="DM72" s="404"/>
      <c r="DN72" s="48" t="s">
        <v>208</v>
      </c>
      <c r="DO72" s="67" t="s">
        <v>533</v>
      </c>
      <c r="DP72" s="61" t="s">
        <v>534</v>
      </c>
      <c r="DQ72" s="66" t="s">
        <v>291</v>
      </c>
      <c r="DR72" s="71">
        <v>44927</v>
      </c>
      <c r="DS72" s="492"/>
      <c r="DT72" s="316"/>
      <c r="DU72" s="66" t="s">
        <v>535</v>
      </c>
      <c r="DV72" s="315" t="s">
        <v>536</v>
      </c>
      <c r="DW72" s="315" t="s">
        <v>537</v>
      </c>
      <c r="DX72" s="310" t="s">
        <v>538</v>
      </c>
      <c r="DY72" s="310" t="s">
        <v>539</v>
      </c>
      <c r="DZ72" s="310" t="s">
        <v>540</v>
      </c>
      <c r="EA72" s="310" t="s">
        <v>541</v>
      </c>
      <c r="EB72" s="310" t="s">
        <v>542</v>
      </c>
      <c r="EC72" s="310" t="s">
        <v>743</v>
      </c>
      <c r="ED72" s="310" t="s">
        <v>792</v>
      </c>
      <c r="EE72" s="492"/>
      <c r="EF72" s="492"/>
    </row>
    <row r="73" spans="1:136" ht="36" customHeight="1" x14ac:dyDescent="0.4">
      <c r="A73" s="633"/>
      <c r="B73" s="633"/>
      <c r="C73" s="633"/>
      <c r="D73" s="621"/>
      <c r="E73" s="376"/>
      <c r="F73" s="621"/>
      <c r="G73" s="376"/>
      <c r="H73" s="376"/>
      <c r="I73" s="376"/>
      <c r="J73" s="376"/>
      <c r="K73" s="568"/>
      <c r="L73" s="624"/>
      <c r="M73" s="568"/>
      <c r="N73" s="625"/>
      <c r="O73" s="568"/>
      <c r="P73" s="615"/>
      <c r="Q73" s="615" t="s">
        <v>193</v>
      </c>
      <c r="R73" s="615" t="s">
        <v>543</v>
      </c>
      <c r="S73" s="608"/>
      <c r="T73" s="608"/>
      <c r="U73" s="608"/>
      <c r="V73" s="357"/>
      <c r="W73" s="333"/>
      <c r="X73" s="333"/>
      <c r="Y73" s="357"/>
      <c r="Z73" s="333"/>
      <c r="AA73" s="333"/>
      <c r="AB73" s="357"/>
      <c r="AC73" s="333"/>
      <c r="AD73" s="333"/>
      <c r="AE73" s="357"/>
      <c r="AF73" s="333"/>
      <c r="AG73" s="333"/>
      <c r="AH73" s="357"/>
      <c r="AI73" s="333"/>
      <c r="AJ73" s="333"/>
      <c r="AK73" s="436"/>
      <c r="AL73" s="437"/>
      <c r="AM73" s="437"/>
      <c r="AN73" s="600"/>
      <c r="AO73" s="600"/>
      <c r="AP73" s="435"/>
      <c r="AQ73" s="435"/>
      <c r="AR73" s="68" t="s">
        <v>544</v>
      </c>
      <c r="AS73" s="608"/>
      <c r="AT73" s="31"/>
      <c r="AU73" s="134">
        <v>0.2</v>
      </c>
      <c r="AV73" s="123">
        <v>44958</v>
      </c>
      <c r="AW73" s="124">
        <v>45275</v>
      </c>
      <c r="AX73" s="29">
        <f t="shared" si="12"/>
        <v>317</v>
      </c>
      <c r="AY73" s="608"/>
      <c r="AZ73" s="613"/>
      <c r="BA73" s="378"/>
      <c r="BB73" s="335"/>
      <c r="BC73" s="346"/>
      <c r="BD73" s="378"/>
      <c r="BE73" s="335"/>
      <c r="BF73" s="346"/>
      <c r="BG73" s="378"/>
      <c r="BH73" s="335"/>
      <c r="BI73" s="346"/>
      <c r="BJ73" s="378"/>
      <c r="BK73" s="335"/>
      <c r="BL73" s="346"/>
      <c r="BM73" s="378"/>
      <c r="BN73" s="335"/>
      <c r="BO73" s="346"/>
      <c r="BP73" s="435"/>
      <c r="BQ73" s="435"/>
      <c r="BR73" s="435"/>
      <c r="BS73" s="62">
        <v>110000000</v>
      </c>
      <c r="BT73" s="67" t="s">
        <v>291</v>
      </c>
      <c r="BU73" s="435"/>
      <c r="BV73" s="435"/>
      <c r="BW73" s="747"/>
      <c r="BX73" s="747"/>
      <c r="BY73" s="748"/>
      <c r="BZ73" s="712"/>
      <c r="CA73" s="712"/>
      <c r="CB73" s="712"/>
      <c r="CC73" s="706"/>
      <c r="CD73" s="706"/>
      <c r="CE73" s="482"/>
      <c r="CF73" s="482"/>
      <c r="CG73" s="485"/>
      <c r="CH73" s="482"/>
      <c r="CI73" s="482"/>
      <c r="CJ73" s="485"/>
      <c r="CK73" s="482"/>
      <c r="CL73" s="482"/>
      <c r="CM73" s="485"/>
      <c r="CN73" s="412"/>
      <c r="CO73" s="412"/>
      <c r="CP73" s="404"/>
      <c r="CQ73" s="412"/>
      <c r="CR73" s="412"/>
      <c r="CS73" s="404"/>
      <c r="CT73" s="433"/>
      <c r="CU73" s="433"/>
      <c r="CV73" s="404"/>
      <c r="CW73" s="400"/>
      <c r="CX73" s="400"/>
      <c r="CY73" s="404"/>
      <c r="CZ73" s="415"/>
      <c r="DA73" s="415"/>
      <c r="DB73" s="415"/>
      <c r="DC73" s="404"/>
      <c r="DD73" s="404"/>
      <c r="DE73" s="400"/>
      <c r="DF73" s="400"/>
      <c r="DG73" s="404"/>
      <c r="DH73" s="400"/>
      <c r="DI73" s="400"/>
      <c r="DJ73" s="404"/>
      <c r="DK73" s="400"/>
      <c r="DL73" s="400"/>
      <c r="DM73" s="404"/>
      <c r="DN73" s="48" t="s">
        <v>208</v>
      </c>
      <c r="DO73" s="67" t="s">
        <v>545</v>
      </c>
      <c r="DP73" s="61" t="s">
        <v>546</v>
      </c>
      <c r="DQ73" s="66" t="s">
        <v>291</v>
      </c>
      <c r="DR73" s="71">
        <v>44927</v>
      </c>
      <c r="DS73" s="492"/>
      <c r="DT73" s="316"/>
      <c r="DU73" s="68" t="s">
        <v>547</v>
      </c>
      <c r="DV73" s="316"/>
      <c r="DW73" s="316"/>
      <c r="DX73" s="312"/>
      <c r="DY73" s="312"/>
      <c r="DZ73" s="312"/>
      <c r="EA73" s="312"/>
      <c r="EB73" s="312"/>
      <c r="EC73" s="312"/>
      <c r="ED73" s="312"/>
      <c r="EE73" s="492"/>
      <c r="EF73" s="492"/>
    </row>
    <row r="74" spans="1:136" ht="9.75" hidden="1" customHeight="1" x14ac:dyDescent="0.4">
      <c r="A74" s="633"/>
      <c r="B74" s="633"/>
      <c r="C74" s="633"/>
      <c r="D74" s="621"/>
      <c r="E74" s="376"/>
      <c r="F74" s="621"/>
      <c r="G74" s="376"/>
      <c r="H74" s="376"/>
      <c r="I74" s="376"/>
      <c r="J74" s="376"/>
      <c r="K74" s="568"/>
      <c r="L74" s="624"/>
      <c r="M74" s="568"/>
      <c r="N74" s="625"/>
      <c r="O74" s="568"/>
      <c r="P74" s="615"/>
      <c r="Q74" s="615"/>
      <c r="R74" s="615"/>
      <c r="S74" s="608"/>
      <c r="T74" s="608"/>
      <c r="U74" s="608"/>
      <c r="V74" s="357"/>
      <c r="W74" s="333"/>
      <c r="X74" s="333"/>
      <c r="Y74" s="357"/>
      <c r="Z74" s="333"/>
      <c r="AA74" s="333"/>
      <c r="AB74" s="357"/>
      <c r="AC74" s="333"/>
      <c r="AD74" s="333"/>
      <c r="AE74" s="357"/>
      <c r="AF74" s="333"/>
      <c r="AG74" s="333"/>
      <c r="AH74" s="357"/>
      <c r="AI74" s="333"/>
      <c r="AJ74" s="333"/>
      <c r="AK74" s="436"/>
      <c r="AL74" s="437"/>
      <c r="AM74" s="437"/>
      <c r="AN74" s="600"/>
      <c r="AO74" s="600"/>
      <c r="AP74" s="435"/>
      <c r="AQ74" s="435"/>
      <c r="AR74" s="68" t="s">
        <v>548</v>
      </c>
      <c r="AS74" s="608"/>
      <c r="AT74" s="31"/>
      <c r="AU74" s="134">
        <v>0.2</v>
      </c>
      <c r="AV74" s="123">
        <v>44958</v>
      </c>
      <c r="AW74" s="124">
        <v>45275</v>
      </c>
      <c r="AX74" s="29">
        <f t="shared" si="12"/>
        <v>317</v>
      </c>
      <c r="AY74" s="608"/>
      <c r="AZ74" s="613"/>
      <c r="BA74" s="378"/>
      <c r="BB74" s="335"/>
      <c r="BC74" s="346"/>
      <c r="BD74" s="378"/>
      <c r="BE74" s="335"/>
      <c r="BF74" s="346"/>
      <c r="BG74" s="378"/>
      <c r="BH74" s="335"/>
      <c r="BI74" s="346"/>
      <c r="BJ74" s="378"/>
      <c r="BK74" s="335"/>
      <c r="BL74" s="346"/>
      <c r="BM74" s="378"/>
      <c r="BN74" s="335"/>
      <c r="BO74" s="346"/>
      <c r="BP74" s="435"/>
      <c r="BQ74" s="435"/>
      <c r="BR74" s="435"/>
      <c r="BS74" s="62">
        <v>40448100</v>
      </c>
      <c r="BT74" s="67" t="s">
        <v>291</v>
      </c>
      <c r="BU74" s="435"/>
      <c r="BV74" s="435"/>
      <c r="BW74" s="747"/>
      <c r="BX74" s="747"/>
      <c r="BY74" s="748"/>
      <c r="BZ74" s="712"/>
      <c r="CA74" s="712"/>
      <c r="CB74" s="712"/>
      <c r="CC74" s="706"/>
      <c r="CD74" s="706"/>
      <c r="CE74" s="482"/>
      <c r="CF74" s="482"/>
      <c r="CG74" s="485"/>
      <c r="CH74" s="482"/>
      <c r="CI74" s="482"/>
      <c r="CJ74" s="485"/>
      <c r="CK74" s="482"/>
      <c r="CL74" s="482"/>
      <c r="CM74" s="485"/>
      <c r="CN74" s="412"/>
      <c r="CO74" s="412"/>
      <c r="CP74" s="404"/>
      <c r="CQ74" s="412"/>
      <c r="CR74" s="412"/>
      <c r="CS74" s="404"/>
      <c r="CT74" s="433"/>
      <c r="CU74" s="433"/>
      <c r="CV74" s="404"/>
      <c r="CW74" s="400"/>
      <c r="CX74" s="400"/>
      <c r="CY74" s="404"/>
      <c r="CZ74" s="415"/>
      <c r="DA74" s="415"/>
      <c r="DB74" s="415"/>
      <c r="DC74" s="404"/>
      <c r="DD74" s="404"/>
      <c r="DE74" s="400"/>
      <c r="DF74" s="400"/>
      <c r="DG74" s="404"/>
      <c r="DH74" s="400"/>
      <c r="DI74" s="400"/>
      <c r="DJ74" s="404"/>
      <c r="DK74" s="400"/>
      <c r="DL74" s="400"/>
      <c r="DM74" s="404"/>
      <c r="DN74" s="48" t="s">
        <v>208</v>
      </c>
      <c r="DO74" s="40" t="s">
        <v>209</v>
      </c>
      <c r="DP74" s="61" t="s">
        <v>210</v>
      </c>
      <c r="DQ74" s="66" t="s">
        <v>291</v>
      </c>
      <c r="DR74" s="71">
        <v>44927</v>
      </c>
      <c r="DS74" s="492"/>
      <c r="DT74" s="316"/>
      <c r="DU74" s="68" t="s">
        <v>549</v>
      </c>
      <c r="DV74" s="316"/>
      <c r="DW74" s="316"/>
      <c r="DX74" s="312"/>
      <c r="DY74" s="312"/>
      <c r="DZ74" s="312"/>
      <c r="EA74" s="312"/>
      <c r="EB74" s="312"/>
      <c r="EC74" s="312"/>
      <c r="ED74" s="312"/>
      <c r="EE74" s="492"/>
      <c r="EF74" s="492"/>
    </row>
    <row r="75" spans="1:136" ht="252.75" customHeight="1" x14ac:dyDescent="0.4">
      <c r="A75" s="633"/>
      <c r="B75" s="633"/>
      <c r="C75" s="633"/>
      <c r="D75" s="621"/>
      <c r="E75" s="376"/>
      <c r="F75" s="621"/>
      <c r="G75" s="376"/>
      <c r="H75" s="376"/>
      <c r="I75" s="376"/>
      <c r="J75" s="376"/>
      <c r="K75" s="568"/>
      <c r="L75" s="624"/>
      <c r="M75" s="568"/>
      <c r="N75" s="625"/>
      <c r="O75" s="568"/>
      <c r="P75" s="615"/>
      <c r="Q75" s="615"/>
      <c r="R75" s="615"/>
      <c r="S75" s="608"/>
      <c r="T75" s="608"/>
      <c r="U75" s="608"/>
      <c r="V75" s="357"/>
      <c r="W75" s="333"/>
      <c r="X75" s="333"/>
      <c r="Y75" s="357"/>
      <c r="Z75" s="333"/>
      <c r="AA75" s="333"/>
      <c r="AB75" s="357"/>
      <c r="AC75" s="333"/>
      <c r="AD75" s="333"/>
      <c r="AE75" s="357"/>
      <c r="AF75" s="333"/>
      <c r="AG75" s="333"/>
      <c r="AH75" s="357"/>
      <c r="AI75" s="333"/>
      <c r="AJ75" s="333"/>
      <c r="AK75" s="436"/>
      <c r="AL75" s="437"/>
      <c r="AM75" s="437"/>
      <c r="AN75" s="600"/>
      <c r="AO75" s="600"/>
      <c r="AP75" s="435"/>
      <c r="AQ75" s="435"/>
      <c r="AR75" s="68" t="s">
        <v>550</v>
      </c>
      <c r="AS75" s="608"/>
      <c r="AT75" s="31"/>
      <c r="AU75" s="134">
        <v>0.08</v>
      </c>
      <c r="AV75" s="123">
        <v>44958</v>
      </c>
      <c r="AW75" s="124">
        <v>45275</v>
      </c>
      <c r="AX75" s="29">
        <f t="shared" si="12"/>
        <v>317</v>
      </c>
      <c r="AY75" s="608"/>
      <c r="AZ75" s="613"/>
      <c r="BA75" s="379"/>
      <c r="BB75" s="359"/>
      <c r="BC75" s="346"/>
      <c r="BD75" s="379"/>
      <c r="BE75" s="359"/>
      <c r="BF75" s="346"/>
      <c r="BG75" s="379"/>
      <c r="BH75" s="359"/>
      <c r="BI75" s="346"/>
      <c r="BJ75" s="379"/>
      <c r="BK75" s="359"/>
      <c r="BL75" s="346"/>
      <c r="BM75" s="379"/>
      <c r="BN75" s="359"/>
      <c r="BO75" s="346"/>
      <c r="BP75" s="435"/>
      <c r="BQ75" s="435"/>
      <c r="BR75" s="435"/>
      <c r="BS75" s="62">
        <v>83990000</v>
      </c>
      <c r="BT75" s="67" t="s">
        <v>291</v>
      </c>
      <c r="BU75" s="435"/>
      <c r="BV75" s="435"/>
      <c r="BW75" s="747"/>
      <c r="BX75" s="747"/>
      <c r="BY75" s="748"/>
      <c r="BZ75" s="712"/>
      <c r="CA75" s="712"/>
      <c r="CB75" s="712"/>
      <c r="CC75" s="706"/>
      <c r="CD75" s="706"/>
      <c r="CE75" s="482"/>
      <c r="CF75" s="482"/>
      <c r="CG75" s="485"/>
      <c r="CH75" s="482"/>
      <c r="CI75" s="482"/>
      <c r="CJ75" s="485"/>
      <c r="CK75" s="482"/>
      <c r="CL75" s="482"/>
      <c r="CM75" s="485"/>
      <c r="CN75" s="412"/>
      <c r="CO75" s="412"/>
      <c r="CP75" s="404"/>
      <c r="CQ75" s="412"/>
      <c r="CR75" s="412"/>
      <c r="CS75" s="404"/>
      <c r="CT75" s="433"/>
      <c r="CU75" s="433"/>
      <c r="CV75" s="404"/>
      <c r="CW75" s="400"/>
      <c r="CX75" s="400"/>
      <c r="CY75" s="404"/>
      <c r="CZ75" s="415"/>
      <c r="DA75" s="415"/>
      <c r="DB75" s="415"/>
      <c r="DC75" s="404"/>
      <c r="DD75" s="404"/>
      <c r="DE75" s="400"/>
      <c r="DF75" s="400"/>
      <c r="DG75" s="404"/>
      <c r="DH75" s="400"/>
      <c r="DI75" s="400"/>
      <c r="DJ75" s="404"/>
      <c r="DK75" s="400"/>
      <c r="DL75" s="400"/>
      <c r="DM75" s="404"/>
      <c r="DN75" s="48" t="s">
        <v>208</v>
      </c>
      <c r="DO75" s="40" t="s">
        <v>551</v>
      </c>
      <c r="DP75" s="61" t="s">
        <v>552</v>
      </c>
      <c r="DQ75" s="66" t="s">
        <v>291</v>
      </c>
      <c r="DR75" s="71">
        <v>44927</v>
      </c>
      <c r="DS75" s="492"/>
      <c r="DT75" s="316"/>
      <c r="DU75" s="68" t="s">
        <v>553</v>
      </c>
      <c r="DV75" s="317"/>
      <c r="DW75" s="317"/>
      <c r="DX75" s="311"/>
      <c r="DY75" s="311"/>
      <c r="DZ75" s="311"/>
      <c r="EA75" s="311"/>
      <c r="EB75" s="311"/>
      <c r="EC75" s="311"/>
      <c r="ED75" s="311"/>
      <c r="EE75" s="492"/>
      <c r="EF75" s="492"/>
    </row>
    <row r="76" spans="1:136" ht="294" customHeight="1" x14ac:dyDescent="0.4">
      <c r="A76" s="633"/>
      <c r="B76" s="633"/>
      <c r="C76" s="633"/>
      <c r="D76" s="621"/>
      <c r="E76" s="376"/>
      <c r="F76" s="621"/>
      <c r="G76" s="376"/>
      <c r="H76" s="376"/>
      <c r="I76" s="376"/>
      <c r="J76" s="376"/>
      <c r="K76" s="568"/>
      <c r="L76" s="38" t="s">
        <v>554</v>
      </c>
      <c r="M76" s="37" t="s">
        <v>189</v>
      </c>
      <c r="N76" s="31">
        <v>0</v>
      </c>
      <c r="O76" s="37" t="s">
        <v>555</v>
      </c>
      <c r="P76" s="615" t="s">
        <v>193</v>
      </c>
      <c r="Q76" s="615"/>
      <c r="R76" s="615" t="s">
        <v>512</v>
      </c>
      <c r="S76" s="30">
        <v>10</v>
      </c>
      <c r="T76" s="30">
        <v>8</v>
      </c>
      <c r="U76" s="30">
        <v>10</v>
      </c>
      <c r="V76" s="239">
        <v>0</v>
      </c>
      <c r="W76" s="36">
        <f>0/T76</f>
        <v>0</v>
      </c>
      <c r="X76" s="36">
        <f>(V76+U76)/S76</f>
        <v>1</v>
      </c>
      <c r="Y76" s="239">
        <v>6</v>
      </c>
      <c r="Z76" s="242">
        <f>Y76/T76</f>
        <v>0.75</v>
      </c>
      <c r="AA76" s="36">
        <f>(Y76+U76)/S76</f>
        <v>1.6</v>
      </c>
      <c r="AB76" s="239">
        <v>6</v>
      </c>
      <c r="AC76" s="242">
        <f>AB76/T76</f>
        <v>0.75</v>
      </c>
      <c r="AD76" s="36">
        <f>(AB76+U76)/S76</f>
        <v>1.6</v>
      </c>
      <c r="AE76" s="239">
        <f>6+2</f>
        <v>8</v>
      </c>
      <c r="AF76" s="242">
        <f>AE76/T76</f>
        <v>1</v>
      </c>
      <c r="AG76" s="36">
        <f>(AE76+U76)/S76</f>
        <v>1.8</v>
      </c>
      <c r="AH76" s="239">
        <f>6+2</f>
        <v>8</v>
      </c>
      <c r="AI76" s="242">
        <f>AH76/T76</f>
        <v>1</v>
      </c>
      <c r="AJ76" s="36">
        <f>(AH76+U76)/S76</f>
        <v>1.8</v>
      </c>
      <c r="AK76" s="436"/>
      <c r="AL76" s="437"/>
      <c r="AM76" s="437"/>
      <c r="AN76" s="600"/>
      <c r="AO76" s="600"/>
      <c r="AP76" s="435"/>
      <c r="AQ76" s="435"/>
      <c r="AR76" s="68" t="s">
        <v>556</v>
      </c>
      <c r="AS76" s="42"/>
      <c r="AT76" s="44"/>
      <c r="AU76" s="134">
        <v>0.1</v>
      </c>
      <c r="AV76" s="123">
        <v>44958</v>
      </c>
      <c r="AW76" s="124">
        <v>45275</v>
      </c>
      <c r="AX76" s="29">
        <f t="shared" si="12"/>
        <v>317</v>
      </c>
      <c r="AY76" s="42" t="s">
        <v>238</v>
      </c>
      <c r="AZ76" s="42" t="s">
        <v>238</v>
      </c>
      <c r="BA76" s="239">
        <v>0</v>
      </c>
      <c r="BB76" s="36">
        <f>0/T76</f>
        <v>0</v>
      </c>
      <c r="BC76" s="346"/>
      <c r="BD76" s="239">
        <f>0+6</f>
        <v>6</v>
      </c>
      <c r="BE76" s="36">
        <f>BD76/T76</f>
        <v>0.75</v>
      </c>
      <c r="BF76" s="346"/>
      <c r="BG76" s="239">
        <f>0+6</f>
        <v>6</v>
      </c>
      <c r="BH76" s="36">
        <f>BG76/T76</f>
        <v>0.75</v>
      </c>
      <c r="BI76" s="346"/>
      <c r="BJ76" s="239">
        <f>0+6+2</f>
        <v>8</v>
      </c>
      <c r="BK76" s="36">
        <f>BJ76/T76</f>
        <v>1</v>
      </c>
      <c r="BL76" s="346"/>
      <c r="BM76" s="239">
        <f>0+6+2</f>
        <v>8</v>
      </c>
      <c r="BN76" s="36">
        <f>BM76/T76</f>
        <v>1</v>
      </c>
      <c r="BO76" s="346"/>
      <c r="BP76" s="435"/>
      <c r="BQ76" s="435"/>
      <c r="BR76" s="435"/>
      <c r="BS76" s="62">
        <v>157066651.47000003</v>
      </c>
      <c r="BT76" s="67" t="s">
        <v>291</v>
      </c>
      <c r="BU76" s="435"/>
      <c r="BV76" s="435"/>
      <c r="BW76" s="747"/>
      <c r="BX76" s="747"/>
      <c r="BY76" s="748"/>
      <c r="BZ76" s="712"/>
      <c r="CA76" s="712"/>
      <c r="CB76" s="712"/>
      <c r="CC76" s="706"/>
      <c r="CD76" s="706"/>
      <c r="CE76" s="482"/>
      <c r="CF76" s="482"/>
      <c r="CG76" s="485"/>
      <c r="CH76" s="482"/>
      <c r="CI76" s="482"/>
      <c r="CJ76" s="485"/>
      <c r="CK76" s="482"/>
      <c r="CL76" s="482"/>
      <c r="CM76" s="485"/>
      <c r="CN76" s="412"/>
      <c r="CO76" s="412"/>
      <c r="CP76" s="404"/>
      <c r="CQ76" s="412"/>
      <c r="CR76" s="412"/>
      <c r="CS76" s="404"/>
      <c r="CT76" s="433"/>
      <c r="CU76" s="433"/>
      <c r="CV76" s="404"/>
      <c r="CW76" s="400"/>
      <c r="CX76" s="400"/>
      <c r="CY76" s="404"/>
      <c r="CZ76" s="415"/>
      <c r="DA76" s="415"/>
      <c r="DB76" s="415"/>
      <c r="DC76" s="404"/>
      <c r="DD76" s="404"/>
      <c r="DE76" s="400"/>
      <c r="DF76" s="400"/>
      <c r="DG76" s="404"/>
      <c r="DH76" s="400"/>
      <c r="DI76" s="400"/>
      <c r="DJ76" s="404"/>
      <c r="DK76" s="400"/>
      <c r="DL76" s="400"/>
      <c r="DM76" s="404"/>
      <c r="DN76" s="48" t="s">
        <v>208</v>
      </c>
      <c r="DO76" s="40" t="s">
        <v>557</v>
      </c>
      <c r="DP76" s="61" t="s">
        <v>558</v>
      </c>
      <c r="DQ76" s="66" t="s">
        <v>291</v>
      </c>
      <c r="DR76" s="71">
        <v>44927</v>
      </c>
      <c r="DS76" s="492"/>
      <c r="DT76" s="316"/>
      <c r="DU76" s="68" t="s">
        <v>559</v>
      </c>
      <c r="DV76" s="68" t="s">
        <v>560</v>
      </c>
      <c r="DW76" s="68" t="s">
        <v>559</v>
      </c>
      <c r="DX76" s="82" t="s">
        <v>559</v>
      </c>
      <c r="DY76" s="82" t="s">
        <v>561</v>
      </c>
      <c r="DZ76" s="82" t="s">
        <v>562</v>
      </c>
      <c r="EA76" s="82" t="s">
        <v>785</v>
      </c>
      <c r="EB76" s="82" t="s">
        <v>563</v>
      </c>
      <c r="EC76" s="82" t="s">
        <v>747</v>
      </c>
      <c r="ED76" s="82" t="s">
        <v>786</v>
      </c>
      <c r="EE76" s="492"/>
      <c r="EF76" s="492"/>
    </row>
    <row r="77" spans="1:136" ht="94.9" customHeight="1" x14ac:dyDescent="0.4">
      <c r="A77" s="633"/>
      <c r="B77" s="633"/>
      <c r="C77" s="633"/>
      <c r="D77" s="621"/>
      <c r="E77" s="376"/>
      <c r="F77" s="621"/>
      <c r="G77" s="376"/>
      <c r="H77" s="376"/>
      <c r="I77" s="376"/>
      <c r="J77" s="376"/>
      <c r="K77" s="568"/>
      <c r="L77" s="38" t="s">
        <v>564</v>
      </c>
      <c r="M77" s="37" t="s">
        <v>189</v>
      </c>
      <c r="N77" s="30">
        <v>0</v>
      </c>
      <c r="O77" s="37" t="s">
        <v>565</v>
      </c>
      <c r="P77" s="615"/>
      <c r="Q77" s="615"/>
      <c r="R77" s="615"/>
      <c r="S77" s="30">
        <v>1</v>
      </c>
      <c r="T77" s="30">
        <v>1</v>
      </c>
      <c r="U77" s="30">
        <v>2</v>
      </c>
      <c r="V77" s="239">
        <v>1</v>
      </c>
      <c r="W77" s="36">
        <v>1</v>
      </c>
      <c r="X77" s="36">
        <v>1</v>
      </c>
      <c r="Y77" s="239">
        <v>1</v>
      </c>
      <c r="Z77" s="242">
        <f>Y77/T77</f>
        <v>1</v>
      </c>
      <c r="AA77" s="36">
        <v>1</v>
      </c>
      <c r="AB77" s="239">
        <v>1</v>
      </c>
      <c r="AC77" s="242">
        <f>AB77/W77</f>
        <v>1</v>
      </c>
      <c r="AD77" s="36">
        <v>1</v>
      </c>
      <c r="AE77" s="239">
        <v>1</v>
      </c>
      <c r="AF77" s="242">
        <f>AE77/Z77</f>
        <v>1</v>
      </c>
      <c r="AG77" s="36">
        <v>1</v>
      </c>
      <c r="AH77" s="239">
        <v>1</v>
      </c>
      <c r="AI77" s="242">
        <f>AH77/AC77</f>
        <v>1</v>
      </c>
      <c r="AJ77" s="36">
        <v>1</v>
      </c>
      <c r="AK77" s="436"/>
      <c r="AL77" s="437"/>
      <c r="AM77" s="437"/>
      <c r="AN77" s="600"/>
      <c r="AO77" s="600"/>
      <c r="AP77" s="435"/>
      <c r="AQ77" s="435"/>
      <c r="AR77" s="68" t="s">
        <v>566</v>
      </c>
      <c r="AS77" s="42"/>
      <c r="AT77" s="35"/>
      <c r="AU77" s="134">
        <v>0.1</v>
      </c>
      <c r="AV77" s="123">
        <v>44958</v>
      </c>
      <c r="AW77" s="124">
        <v>45275</v>
      </c>
      <c r="AX77" s="29">
        <f t="shared" si="12"/>
        <v>317</v>
      </c>
      <c r="AY77" s="42" t="s">
        <v>238</v>
      </c>
      <c r="AZ77" s="42" t="s">
        <v>238</v>
      </c>
      <c r="BA77" s="239">
        <v>1</v>
      </c>
      <c r="BB77" s="36">
        <v>1</v>
      </c>
      <c r="BC77" s="346"/>
      <c r="BD77" s="239">
        <v>1</v>
      </c>
      <c r="BE77" s="36">
        <f>BD77/T77</f>
        <v>1</v>
      </c>
      <c r="BF77" s="346"/>
      <c r="BG77" s="239">
        <v>1</v>
      </c>
      <c r="BH77" s="36">
        <f>BG77/W77</f>
        <v>1</v>
      </c>
      <c r="BI77" s="346"/>
      <c r="BJ77" s="239">
        <v>1</v>
      </c>
      <c r="BK77" s="36">
        <f>BJ77/Z77</f>
        <v>1</v>
      </c>
      <c r="BL77" s="346"/>
      <c r="BM77" s="239">
        <v>1</v>
      </c>
      <c r="BN77" s="36">
        <f>BM77/AC77</f>
        <v>1</v>
      </c>
      <c r="BO77" s="346"/>
      <c r="BP77" s="435"/>
      <c r="BQ77" s="435"/>
      <c r="BR77" s="435"/>
      <c r="BS77" s="60">
        <v>5000000</v>
      </c>
      <c r="BT77" s="67" t="s">
        <v>291</v>
      </c>
      <c r="BU77" s="435"/>
      <c r="BV77" s="435"/>
      <c r="BW77" s="747"/>
      <c r="BX77" s="747"/>
      <c r="BY77" s="748"/>
      <c r="BZ77" s="712"/>
      <c r="CA77" s="712"/>
      <c r="CB77" s="712"/>
      <c r="CC77" s="706"/>
      <c r="CD77" s="706"/>
      <c r="CE77" s="482"/>
      <c r="CF77" s="482"/>
      <c r="CG77" s="485"/>
      <c r="CH77" s="482"/>
      <c r="CI77" s="482"/>
      <c r="CJ77" s="485"/>
      <c r="CK77" s="482"/>
      <c r="CL77" s="482"/>
      <c r="CM77" s="485"/>
      <c r="CN77" s="412"/>
      <c r="CO77" s="412"/>
      <c r="CP77" s="404"/>
      <c r="CQ77" s="412"/>
      <c r="CR77" s="412"/>
      <c r="CS77" s="404"/>
      <c r="CT77" s="433"/>
      <c r="CU77" s="433"/>
      <c r="CV77" s="404"/>
      <c r="CW77" s="400"/>
      <c r="CX77" s="400"/>
      <c r="CY77" s="404"/>
      <c r="CZ77" s="415"/>
      <c r="DA77" s="415"/>
      <c r="DB77" s="415"/>
      <c r="DC77" s="404"/>
      <c r="DD77" s="404"/>
      <c r="DE77" s="400"/>
      <c r="DF77" s="400"/>
      <c r="DG77" s="404"/>
      <c r="DH77" s="400"/>
      <c r="DI77" s="400"/>
      <c r="DJ77" s="404"/>
      <c r="DK77" s="400"/>
      <c r="DL77" s="400"/>
      <c r="DM77" s="404"/>
      <c r="DN77" s="48" t="s">
        <v>208</v>
      </c>
      <c r="DO77" s="67" t="s">
        <v>567</v>
      </c>
      <c r="DP77" s="66" t="s">
        <v>546</v>
      </c>
      <c r="DQ77" s="66"/>
      <c r="DR77" s="61"/>
      <c r="DS77" s="492"/>
      <c r="DT77" s="316"/>
      <c r="DU77" s="68" t="s">
        <v>568</v>
      </c>
      <c r="DV77" s="68" t="s">
        <v>569</v>
      </c>
      <c r="DW77" s="68" t="s">
        <v>570</v>
      </c>
      <c r="DX77" s="175" t="s">
        <v>571</v>
      </c>
      <c r="DY77" s="175" t="s">
        <v>572</v>
      </c>
      <c r="DZ77" s="175" t="s">
        <v>573</v>
      </c>
      <c r="EA77" s="39" t="s">
        <v>574</v>
      </c>
      <c r="EB77" s="39" t="s">
        <v>575</v>
      </c>
      <c r="EC77" s="39" t="s">
        <v>746</v>
      </c>
      <c r="ED77" s="39" t="s">
        <v>787</v>
      </c>
      <c r="EE77" s="492"/>
      <c r="EF77" s="492"/>
    </row>
    <row r="78" spans="1:136" ht="122.45" customHeight="1" x14ac:dyDescent="0.4">
      <c r="A78" s="633"/>
      <c r="B78" s="633"/>
      <c r="C78" s="633"/>
      <c r="D78" s="621"/>
      <c r="E78" s="376"/>
      <c r="F78" s="621"/>
      <c r="G78" s="376"/>
      <c r="H78" s="376"/>
      <c r="I78" s="376"/>
      <c r="J78" s="376"/>
      <c r="K78" s="568"/>
      <c r="L78" s="38" t="s">
        <v>576</v>
      </c>
      <c r="M78" s="37" t="s">
        <v>189</v>
      </c>
      <c r="N78" s="30">
        <v>4</v>
      </c>
      <c r="O78" s="37" t="s">
        <v>577</v>
      </c>
      <c r="P78" s="615"/>
      <c r="Q78" s="615"/>
      <c r="R78" s="615"/>
      <c r="S78" s="30">
        <v>10</v>
      </c>
      <c r="T78" s="30">
        <v>3</v>
      </c>
      <c r="U78" s="140">
        <v>11</v>
      </c>
      <c r="V78" s="239">
        <f>1+1</f>
        <v>2</v>
      </c>
      <c r="W78" s="36">
        <f>V78/S78</f>
        <v>0.2</v>
      </c>
      <c r="X78" s="36">
        <v>1</v>
      </c>
      <c r="Y78" s="239">
        <f>1+1</f>
        <v>2</v>
      </c>
      <c r="Z78" s="242">
        <f>Y78/T78</f>
        <v>0.66666666666666663</v>
      </c>
      <c r="AA78" s="36">
        <v>1</v>
      </c>
      <c r="AB78" s="239">
        <f>1+1</f>
        <v>2</v>
      </c>
      <c r="AC78" s="242">
        <f>AB78/T78</f>
        <v>0.66666666666666663</v>
      </c>
      <c r="AD78" s="36">
        <v>1</v>
      </c>
      <c r="AE78" s="239">
        <f>1+1</f>
        <v>2</v>
      </c>
      <c r="AF78" s="242">
        <f>AE78/T78</f>
        <v>0.66666666666666663</v>
      </c>
      <c r="AG78" s="36">
        <v>1</v>
      </c>
      <c r="AH78" s="239">
        <f>1+1</f>
        <v>2</v>
      </c>
      <c r="AI78" s="242">
        <f>AH78/T78</f>
        <v>0.66666666666666663</v>
      </c>
      <c r="AJ78" s="36">
        <v>1</v>
      </c>
      <c r="AK78" s="436"/>
      <c r="AL78" s="437"/>
      <c r="AM78" s="437"/>
      <c r="AN78" s="600"/>
      <c r="AO78" s="600"/>
      <c r="AP78" s="435"/>
      <c r="AQ78" s="435"/>
      <c r="AR78" s="68" t="s">
        <v>578</v>
      </c>
      <c r="AS78" s="42"/>
      <c r="AT78" s="44"/>
      <c r="AU78" s="134">
        <v>0.12</v>
      </c>
      <c r="AV78" s="123">
        <v>44958</v>
      </c>
      <c r="AW78" s="124">
        <v>45275</v>
      </c>
      <c r="AX78" s="29">
        <f t="shared" si="12"/>
        <v>317</v>
      </c>
      <c r="AY78" s="42" t="s">
        <v>238</v>
      </c>
      <c r="AZ78" s="42" t="s">
        <v>238</v>
      </c>
      <c r="BA78" s="239">
        <f>1+1</f>
        <v>2</v>
      </c>
      <c r="BB78" s="36">
        <f>BA78/T78</f>
        <v>0.66666666666666663</v>
      </c>
      <c r="BC78" s="346"/>
      <c r="BD78" s="239">
        <f>1+1</f>
        <v>2</v>
      </c>
      <c r="BE78" s="36">
        <f>BD78/T78</f>
        <v>0.66666666666666663</v>
      </c>
      <c r="BF78" s="346"/>
      <c r="BG78" s="239">
        <f>1+1</f>
        <v>2</v>
      </c>
      <c r="BH78" s="36">
        <f>BG78/T78</f>
        <v>0.66666666666666663</v>
      </c>
      <c r="BI78" s="346"/>
      <c r="BJ78" s="239">
        <f>1+1</f>
        <v>2</v>
      </c>
      <c r="BK78" s="36">
        <f>BJ78/T78</f>
        <v>0.66666666666666663</v>
      </c>
      <c r="BL78" s="346"/>
      <c r="BM78" s="239">
        <f>1+1</f>
        <v>2</v>
      </c>
      <c r="BN78" s="36">
        <f>BM78/T78</f>
        <v>0.66666666666666663</v>
      </c>
      <c r="BO78" s="346"/>
      <c r="BP78" s="435"/>
      <c r="BQ78" s="435"/>
      <c r="BR78" s="435"/>
      <c r="BS78" s="60">
        <v>57783000</v>
      </c>
      <c r="BT78" s="67" t="s">
        <v>291</v>
      </c>
      <c r="BU78" s="435"/>
      <c r="BV78" s="435"/>
      <c r="BW78" s="747"/>
      <c r="BX78" s="747"/>
      <c r="BY78" s="748"/>
      <c r="BZ78" s="712"/>
      <c r="CA78" s="712"/>
      <c r="CB78" s="712"/>
      <c r="CC78" s="706"/>
      <c r="CD78" s="706"/>
      <c r="CE78" s="482"/>
      <c r="CF78" s="482"/>
      <c r="CG78" s="485"/>
      <c r="CH78" s="482"/>
      <c r="CI78" s="482"/>
      <c r="CJ78" s="485"/>
      <c r="CK78" s="482"/>
      <c r="CL78" s="482"/>
      <c r="CM78" s="485"/>
      <c r="CN78" s="412"/>
      <c r="CO78" s="412"/>
      <c r="CP78" s="404"/>
      <c r="CQ78" s="412"/>
      <c r="CR78" s="412"/>
      <c r="CS78" s="404"/>
      <c r="CT78" s="433"/>
      <c r="CU78" s="433"/>
      <c r="CV78" s="404"/>
      <c r="CW78" s="400"/>
      <c r="CX78" s="400"/>
      <c r="CY78" s="404"/>
      <c r="CZ78" s="415"/>
      <c r="DA78" s="415"/>
      <c r="DB78" s="415"/>
      <c r="DC78" s="404"/>
      <c r="DD78" s="404"/>
      <c r="DE78" s="400"/>
      <c r="DF78" s="400"/>
      <c r="DG78" s="404"/>
      <c r="DH78" s="400"/>
      <c r="DI78" s="400"/>
      <c r="DJ78" s="404"/>
      <c r="DK78" s="400"/>
      <c r="DL78" s="400"/>
      <c r="DM78" s="404"/>
      <c r="DN78" s="48" t="s">
        <v>208</v>
      </c>
      <c r="DO78" s="40" t="s">
        <v>209</v>
      </c>
      <c r="DP78" s="61" t="s">
        <v>210</v>
      </c>
      <c r="DQ78" s="66" t="s">
        <v>291</v>
      </c>
      <c r="DR78" s="71">
        <v>44927</v>
      </c>
      <c r="DS78" s="492"/>
      <c r="DT78" s="316"/>
      <c r="DU78" s="68" t="s">
        <v>579</v>
      </c>
      <c r="DV78" s="68" t="s">
        <v>580</v>
      </c>
      <c r="DW78" s="68" t="s">
        <v>581</v>
      </c>
      <c r="DX78" s="82" t="s">
        <v>582</v>
      </c>
      <c r="DY78" s="82" t="s">
        <v>583</v>
      </c>
      <c r="DZ78" s="82" t="s">
        <v>584</v>
      </c>
      <c r="EA78" s="175" t="s">
        <v>585</v>
      </c>
      <c r="EB78" s="175" t="s">
        <v>586</v>
      </c>
      <c r="EC78" s="175" t="s">
        <v>744</v>
      </c>
      <c r="ED78" s="175" t="s">
        <v>788</v>
      </c>
      <c r="EE78" s="492"/>
      <c r="EF78" s="492"/>
    </row>
    <row r="79" spans="1:136" ht="101.25" customHeight="1" x14ac:dyDescent="0.4">
      <c r="A79" s="633"/>
      <c r="B79" s="633"/>
      <c r="C79" s="633"/>
      <c r="D79" s="621"/>
      <c r="E79" s="376"/>
      <c r="F79" s="621"/>
      <c r="G79" s="376"/>
      <c r="H79" s="376"/>
      <c r="I79" s="376"/>
      <c r="J79" s="376"/>
      <c r="K79" s="568"/>
      <c r="L79" s="37" t="s">
        <v>587</v>
      </c>
      <c r="M79" s="37" t="s">
        <v>588</v>
      </c>
      <c r="N79" s="30">
        <v>7</v>
      </c>
      <c r="O79" s="37" t="s">
        <v>589</v>
      </c>
      <c r="P79" s="69"/>
      <c r="Q79" s="69"/>
      <c r="R79" s="69"/>
      <c r="S79" s="30">
        <v>48</v>
      </c>
      <c r="T79" s="30">
        <v>12</v>
      </c>
      <c r="U79" s="30">
        <v>48</v>
      </c>
      <c r="V79" s="239">
        <v>12</v>
      </c>
      <c r="W79" s="36">
        <f>V79/T79</f>
        <v>1</v>
      </c>
      <c r="X79" s="36">
        <f>(V79+U79)/S79</f>
        <v>1.25</v>
      </c>
      <c r="Y79" s="239">
        <v>12</v>
      </c>
      <c r="Z79" s="242">
        <f>Y79/T79</f>
        <v>1</v>
      </c>
      <c r="AA79" s="36">
        <v>1</v>
      </c>
      <c r="AB79" s="239">
        <v>12</v>
      </c>
      <c r="AC79" s="242">
        <f>AB79/T79</f>
        <v>1</v>
      </c>
      <c r="AD79" s="36">
        <v>1</v>
      </c>
      <c r="AE79" s="239">
        <v>12</v>
      </c>
      <c r="AF79" s="242">
        <f>AE79/T79</f>
        <v>1</v>
      </c>
      <c r="AG79" s="36">
        <f>(AE79+U79)/S79</f>
        <v>1.25</v>
      </c>
      <c r="AH79" s="239">
        <v>12</v>
      </c>
      <c r="AI79" s="242">
        <f>AH79/T79</f>
        <v>1</v>
      </c>
      <c r="AJ79" s="36">
        <f>(AH79+U79)/S79</f>
        <v>1.25</v>
      </c>
      <c r="AK79" s="436"/>
      <c r="AL79" s="437"/>
      <c r="AM79" s="437"/>
      <c r="AN79" s="600"/>
      <c r="AO79" s="600"/>
      <c r="AP79" s="435"/>
      <c r="AQ79" s="435"/>
      <c r="AR79" s="68" t="s">
        <v>590</v>
      </c>
      <c r="AS79" s="42"/>
      <c r="AT79" s="44"/>
      <c r="AU79" s="134"/>
      <c r="AV79" s="123">
        <v>44958</v>
      </c>
      <c r="AW79" s="124">
        <v>45275</v>
      </c>
      <c r="AX79" s="29">
        <f t="shared" si="12"/>
        <v>317</v>
      </c>
      <c r="AY79" s="42" t="s">
        <v>238</v>
      </c>
      <c r="AZ79" s="42" t="s">
        <v>238</v>
      </c>
      <c r="BA79" s="239">
        <v>12</v>
      </c>
      <c r="BB79" s="36">
        <f>BA79/T79</f>
        <v>1</v>
      </c>
      <c r="BC79" s="347"/>
      <c r="BD79" s="239">
        <v>12</v>
      </c>
      <c r="BE79" s="36">
        <v>1</v>
      </c>
      <c r="BF79" s="347"/>
      <c r="BG79" s="239">
        <v>12</v>
      </c>
      <c r="BH79" s="36">
        <v>1</v>
      </c>
      <c r="BI79" s="347"/>
      <c r="BJ79" s="239">
        <v>12</v>
      </c>
      <c r="BK79" s="36">
        <v>1</v>
      </c>
      <c r="BL79" s="347"/>
      <c r="BM79" s="239">
        <v>12</v>
      </c>
      <c r="BN79" s="36">
        <v>1</v>
      </c>
      <c r="BO79" s="347"/>
      <c r="BP79" s="435"/>
      <c r="BQ79" s="435"/>
      <c r="BR79" s="435"/>
      <c r="BS79" s="60">
        <v>0</v>
      </c>
      <c r="BT79" s="67" t="s">
        <v>238</v>
      </c>
      <c r="BU79" s="435"/>
      <c r="BV79" s="435"/>
      <c r="BW79" s="747"/>
      <c r="BX79" s="747"/>
      <c r="BY79" s="748"/>
      <c r="BZ79" s="713"/>
      <c r="CA79" s="713"/>
      <c r="CB79" s="713"/>
      <c r="CC79" s="707"/>
      <c r="CD79" s="707"/>
      <c r="CE79" s="483"/>
      <c r="CF79" s="483"/>
      <c r="CG79" s="486"/>
      <c r="CH79" s="483"/>
      <c r="CI79" s="483"/>
      <c r="CJ79" s="486"/>
      <c r="CK79" s="483"/>
      <c r="CL79" s="483"/>
      <c r="CM79" s="486"/>
      <c r="CN79" s="413"/>
      <c r="CO79" s="413"/>
      <c r="CP79" s="405"/>
      <c r="CQ79" s="413"/>
      <c r="CR79" s="413"/>
      <c r="CS79" s="405"/>
      <c r="CT79" s="434"/>
      <c r="CU79" s="434"/>
      <c r="CV79" s="405"/>
      <c r="CW79" s="401"/>
      <c r="CX79" s="401"/>
      <c r="CY79" s="405"/>
      <c r="CZ79" s="416"/>
      <c r="DA79" s="416"/>
      <c r="DB79" s="416"/>
      <c r="DC79" s="405"/>
      <c r="DD79" s="405"/>
      <c r="DE79" s="401"/>
      <c r="DF79" s="401"/>
      <c r="DG79" s="405"/>
      <c r="DH79" s="401"/>
      <c r="DI79" s="401"/>
      <c r="DJ79" s="405"/>
      <c r="DK79" s="401"/>
      <c r="DL79" s="401"/>
      <c r="DM79" s="405"/>
      <c r="DN79" s="48" t="s">
        <v>591</v>
      </c>
      <c r="DO79" s="40" t="s">
        <v>209</v>
      </c>
      <c r="DP79" s="61" t="s">
        <v>210</v>
      </c>
      <c r="DQ79" s="66" t="s">
        <v>291</v>
      </c>
      <c r="DR79" s="71">
        <v>44927</v>
      </c>
      <c r="DS79" s="493"/>
      <c r="DT79" s="317"/>
      <c r="DU79" s="68" t="s">
        <v>592</v>
      </c>
      <c r="DV79" s="68" t="s">
        <v>593</v>
      </c>
      <c r="DW79" s="68" t="s">
        <v>594</v>
      </c>
      <c r="DX79" s="82" t="s">
        <v>594</v>
      </c>
      <c r="DY79" s="82" t="s">
        <v>595</v>
      </c>
      <c r="DZ79" s="82" t="s">
        <v>596</v>
      </c>
      <c r="EA79" s="82" t="s">
        <v>596</v>
      </c>
      <c r="EB79" s="82" t="s">
        <v>597</v>
      </c>
      <c r="EC79" s="82" t="s">
        <v>745</v>
      </c>
      <c r="ED79" s="82" t="s">
        <v>745</v>
      </c>
      <c r="EE79" s="493"/>
      <c r="EF79" s="493"/>
    </row>
    <row r="80" spans="1:136" ht="50.25" customHeight="1" x14ac:dyDescent="0.4">
      <c r="A80" s="633"/>
      <c r="B80" s="633"/>
      <c r="C80" s="633"/>
      <c r="D80" s="621"/>
      <c r="E80" s="376"/>
      <c r="F80" s="621"/>
      <c r="G80" s="376"/>
      <c r="H80" s="376"/>
      <c r="I80" s="376"/>
      <c r="J80" s="376"/>
      <c r="K80" s="639" t="s">
        <v>281</v>
      </c>
      <c r="L80" s="640"/>
      <c r="M80" s="640"/>
      <c r="N80" s="640"/>
      <c r="O80" s="640"/>
      <c r="P80" s="640"/>
      <c r="Q80" s="640"/>
      <c r="R80" s="640"/>
      <c r="S80" s="640"/>
      <c r="T80" s="640"/>
      <c r="U80" s="640"/>
      <c r="V80" s="78"/>
      <c r="W80" s="78">
        <f>+AVERAGE(W70:W79)</f>
        <v>0.56454365079365088</v>
      </c>
      <c r="X80" s="78">
        <f>(X71+X72+X76+X77+X78+X79)/6</f>
        <v>1.0416666666666667</v>
      </c>
      <c r="Y80" s="258"/>
      <c r="Z80" s="78">
        <f>(Z71+Z72+Z76+Z77+Z78)/5</f>
        <v>0.74663333333333326</v>
      </c>
      <c r="AA80" s="78">
        <f>+AVERAGE(AA70:AA79)</f>
        <v>1.0857142857142856</v>
      </c>
      <c r="AB80" s="258"/>
      <c r="AC80" s="78">
        <f>(AC71+AC72+AC76+AC77+AC78)/5</f>
        <v>0.76393333333333335</v>
      </c>
      <c r="AD80" s="78">
        <f>+AVERAGE(AD70:AD78)</f>
        <v>1.0999999999999999</v>
      </c>
      <c r="AE80" s="258"/>
      <c r="AF80" s="78">
        <f>(AF71+AF72+AF76+AF77+AF78)/5</f>
        <v>0.86818333333333331</v>
      </c>
      <c r="AG80" s="78">
        <f>+AVERAGE(AG70:AG78)</f>
        <v>1.1333333333333333</v>
      </c>
      <c r="AH80" s="258"/>
      <c r="AI80" s="78">
        <f>(AI71+AI72+AI76+AI77+AI78)/5</f>
        <v>0.87203333333333344</v>
      </c>
      <c r="AJ80" s="78">
        <f>+AVERAGE(AJ70:AJ78)</f>
        <v>1.1333333333333333</v>
      </c>
      <c r="AK80" s="32"/>
      <c r="AL80" s="33"/>
      <c r="AM80" s="33"/>
      <c r="AN80" s="45"/>
      <c r="AO80" s="45"/>
      <c r="AP80" s="46"/>
      <c r="AQ80" s="63" t="s">
        <v>282</v>
      </c>
      <c r="AR80" s="138"/>
      <c r="AS80" s="63"/>
      <c r="AT80" s="63"/>
      <c r="AU80" s="244"/>
      <c r="AV80" s="127"/>
      <c r="AW80" s="128"/>
      <c r="AX80" s="34"/>
      <c r="AY80" s="47"/>
      <c r="AZ80" s="47"/>
      <c r="BA80" s="78"/>
      <c r="BB80" s="78">
        <f>SUM(BB71:BB79)/6</f>
        <v>0.57715277777777774</v>
      </c>
      <c r="BC80" s="78">
        <f>BC71</f>
        <v>0.57715277777777774</v>
      </c>
      <c r="BD80" s="78"/>
      <c r="BE80" s="78">
        <f>SUM(BE71:BE78)/5</f>
        <v>0.74663333333333326</v>
      </c>
      <c r="BF80" s="78">
        <f>(BE78+BE77+BE76+BE72+BE71)/5</f>
        <v>0.74663333333333326</v>
      </c>
      <c r="BG80" s="78"/>
      <c r="BH80" s="78">
        <f>SUM(BH71:BH78)/5</f>
        <v>0.76393333333333335</v>
      </c>
      <c r="BI80" s="78">
        <f>(BH78+BH77+BH76+BH72+BH71)/5</f>
        <v>0.76393333333333335</v>
      </c>
      <c r="BJ80" s="78"/>
      <c r="BK80" s="78">
        <f>SUM(BK71:BK78)/5</f>
        <v>0.87078333333333335</v>
      </c>
      <c r="BL80" s="78">
        <f>(BK78+BK77+BK76+BK72+BK71)/5</f>
        <v>0.87078333333333335</v>
      </c>
      <c r="BM80" s="78"/>
      <c r="BN80" s="78">
        <f>SUM(BN71:BN78)/5</f>
        <v>0.87203333333333344</v>
      </c>
      <c r="BO80" s="78">
        <f>(BN78+BN77+BN76+BN72+BN71)/5</f>
        <v>0.87203333333333322</v>
      </c>
      <c r="BP80" s="46"/>
      <c r="BQ80" s="46"/>
      <c r="BR80" s="46"/>
      <c r="BS80" s="46"/>
      <c r="BT80" s="46"/>
      <c r="BU80" s="46"/>
      <c r="BV80" s="46"/>
      <c r="BW80" s="76">
        <f t="shared" ref="BW80:BY80" si="13">BW71</f>
        <v>651767695</v>
      </c>
      <c r="BX80" s="76">
        <f t="shared" si="13"/>
        <v>221194000</v>
      </c>
      <c r="BY80" s="77">
        <f t="shared" si="13"/>
        <v>0.33937551937120786</v>
      </c>
      <c r="BZ80" s="148">
        <v>651767695</v>
      </c>
      <c r="CA80" s="148">
        <v>222861100</v>
      </c>
      <c r="CB80" s="148">
        <v>0</v>
      </c>
      <c r="CC80" s="149">
        <f>CA80/BZ80</f>
        <v>0.34193333255033453</v>
      </c>
      <c r="CD80" s="77">
        <f>CB80/BZ80</f>
        <v>0</v>
      </c>
      <c r="CE80" s="76">
        <v>651767695</v>
      </c>
      <c r="CF80" s="76">
        <v>221194000</v>
      </c>
      <c r="CG80" s="77">
        <f>CF80/CE80</f>
        <v>0.33937551937120786</v>
      </c>
      <c r="CH80" s="76">
        <v>651767695</v>
      </c>
      <c r="CI80" s="76">
        <v>221194000</v>
      </c>
      <c r="CJ80" s="77">
        <f>CI80/CH80</f>
        <v>0.33937551937120786</v>
      </c>
      <c r="CK80" s="76">
        <v>651767695</v>
      </c>
      <c r="CL80" s="76">
        <v>221194000</v>
      </c>
      <c r="CM80" s="77">
        <f>CL80/CK80</f>
        <v>0.33937551937120786</v>
      </c>
      <c r="CN80" s="76">
        <v>651767695</v>
      </c>
      <c r="CO80" s="76">
        <f>CO71</f>
        <v>241194000</v>
      </c>
      <c r="CP80" s="77">
        <f>CO80/CN80</f>
        <v>0.37006129921796754</v>
      </c>
      <c r="CQ80" s="76">
        <v>651767695</v>
      </c>
      <c r="CR80" s="76">
        <f>CR71</f>
        <v>241194000</v>
      </c>
      <c r="CS80" s="77">
        <f>CO80/CN80</f>
        <v>0.37006129921796754</v>
      </c>
      <c r="CT80" s="117">
        <f>CT71</f>
        <v>651767695</v>
      </c>
      <c r="CU80" s="117">
        <f>CU71</f>
        <v>247876900</v>
      </c>
      <c r="CV80" s="118">
        <f>CV71</f>
        <v>0.37006129921796754</v>
      </c>
      <c r="CW80" s="117">
        <f>CW71</f>
        <v>651767695</v>
      </c>
      <c r="CX80" s="117">
        <f>CX71</f>
        <v>338545591.56999999</v>
      </c>
      <c r="CY80" s="118">
        <f>CX80/CW80</f>
        <v>0.51942677455040176</v>
      </c>
      <c r="CZ80" s="146">
        <v>651767695</v>
      </c>
      <c r="DA80" s="146">
        <v>400153914</v>
      </c>
      <c r="DB80" s="146">
        <v>310153914</v>
      </c>
      <c r="DC80" s="118">
        <f>DA80/CZ80</f>
        <v>0.61395174549116005</v>
      </c>
      <c r="DD80" s="118">
        <f>DB80/CZ80</f>
        <v>0.47586573618074152</v>
      </c>
      <c r="DE80" s="117">
        <f>DE71</f>
        <v>651767695</v>
      </c>
      <c r="DF80" s="117">
        <f>DF71</f>
        <v>402884507.56999999</v>
      </c>
      <c r="DG80" s="118">
        <f>DF80/DE80</f>
        <v>0.61814126514815992</v>
      </c>
      <c r="DH80" s="117">
        <f>DH71</f>
        <v>651767695</v>
      </c>
      <c r="DI80" s="117">
        <f>DI71</f>
        <v>406929317.56999999</v>
      </c>
      <c r="DJ80" s="118">
        <f>DI80/DH80</f>
        <v>0.62434717260725847</v>
      </c>
      <c r="DK80" s="117">
        <f>DK71</f>
        <v>651767695</v>
      </c>
      <c r="DL80" s="117">
        <f>DL71</f>
        <v>412140717.56999999</v>
      </c>
      <c r="DM80" s="118">
        <f>DL80/DK80</f>
        <v>0.63234296626192865</v>
      </c>
      <c r="DN80" s="46"/>
      <c r="DO80" s="46"/>
      <c r="DP80" s="74"/>
      <c r="DQ80" s="75"/>
      <c r="DR80" s="74"/>
      <c r="DS80" s="74"/>
      <c r="DT80" s="74"/>
      <c r="DU80" s="74"/>
      <c r="DV80" s="74"/>
      <c r="DW80" s="74"/>
      <c r="DX80" s="74"/>
      <c r="DY80" s="74"/>
      <c r="DZ80" s="74"/>
      <c r="EA80" s="74"/>
      <c r="EB80" s="74"/>
      <c r="EC80" s="74"/>
      <c r="ED80" s="74"/>
      <c r="EE80" s="74"/>
      <c r="EF80" s="74"/>
    </row>
    <row r="81" spans="1:136" s="93" customFormat="1" ht="50.25" customHeight="1" x14ac:dyDescent="0.4">
      <c r="A81" s="633"/>
      <c r="B81" s="633"/>
      <c r="C81" s="633"/>
      <c r="D81" s="610" t="s">
        <v>598</v>
      </c>
      <c r="E81" s="436">
        <v>1049212</v>
      </c>
      <c r="F81" s="610" t="s">
        <v>598</v>
      </c>
      <c r="G81" s="436">
        <v>209842.40000000002</v>
      </c>
      <c r="H81" s="436" t="s">
        <v>189</v>
      </c>
      <c r="I81" s="436">
        <f>+T83</f>
        <v>209842</v>
      </c>
      <c r="J81" s="436">
        <v>914939</v>
      </c>
      <c r="K81" s="628" t="s">
        <v>599</v>
      </c>
      <c r="L81" s="616" t="s">
        <v>600</v>
      </c>
      <c r="M81" s="616" t="s">
        <v>189</v>
      </c>
      <c r="N81" s="617">
        <v>0</v>
      </c>
      <c r="O81" s="616" t="s">
        <v>601</v>
      </c>
      <c r="P81" s="616"/>
      <c r="Q81" s="616" t="s">
        <v>193</v>
      </c>
      <c r="R81" s="616" t="s">
        <v>602</v>
      </c>
      <c r="S81" s="348">
        <v>2400</v>
      </c>
      <c r="T81" s="348">
        <v>2400</v>
      </c>
      <c r="U81" s="348">
        <v>14617</v>
      </c>
      <c r="V81" s="348">
        <f>1780+20+195+180+634</f>
        <v>2809</v>
      </c>
      <c r="W81" s="331">
        <v>1</v>
      </c>
      <c r="X81" s="331">
        <v>1</v>
      </c>
      <c r="Y81" s="348">
        <f>1780+20+195+180+634+310</f>
        <v>3119</v>
      </c>
      <c r="Z81" s="331">
        <v>1</v>
      </c>
      <c r="AA81" s="331">
        <v>1</v>
      </c>
      <c r="AB81" s="348">
        <f>1780+20+195+180+634+310+211</f>
        <v>3330</v>
      </c>
      <c r="AC81" s="331">
        <v>1</v>
      </c>
      <c r="AD81" s="331">
        <v>1</v>
      </c>
      <c r="AE81" s="348">
        <f>1780+20+195+180+634+310+211+232</f>
        <v>3562</v>
      </c>
      <c r="AF81" s="331">
        <v>1</v>
      </c>
      <c r="AG81" s="331">
        <v>1</v>
      </c>
      <c r="AH81" s="348">
        <f>1780+20+195+180+634+310+211+284</f>
        <v>3614</v>
      </c>
      <c r="AI81" s="331">
        <v>1</v>
      </c>
      <c r="AJ81" s="331">
        <v>1</v>
      </c>
      <c r="AK81" s="376" t="s">
        <v>603</v>
      </c>
      <c r="AL81" s="331" t="s">
        <v>196</v>
      </c>
      <c r="AM81" s="331" t="s">
        <v>604</v>
      </c>
      <c r="AN81" s="620" t="s">
        <v>605</v>
      </c>
      <c r="AO81" s="620" t="s">
        <v>606</v>
      </c>
      <c r="AP81" s="567">
        <v>20200130010036</v>
      </c>
      <c r="AQ81" s="567" t="s">
        <v>607</v>
      </c>
      <c r="AR81" s="132" t="s">
        <v>608</v>
      </c>
      <c r="AS81" s="348"/>
      <c r="AT81" s="86"/>
      <c r="AU81" s="134">
        <v>0.1</v>
      </c>
      <c r="AV81" s="123">
        <v>44958</v>
      </c>
      <c r="AW81" s="124">
        <v>45275</v>
      </c>
      <c r="AX81" s="29">
        <f t="shared" ref="AX81:AX90" si="14">+AW81-AV81</f>
        <v>317</v>
      </c>
      <c r="AY81" s="348" t="s">
        <v>238</v>
      </c>
      <c r="AZ81" s="348" t="s">
        <v>238</v>
      </c>
      <c r="BA81" s="354">
        <f>1780+20+195+180+634</f>
        <v>2809</v>
      </c>
      <c r="BB81" s="331">
        <v>1</v>
      </c>
      <c r="BC81" s="331">
        <f>+AVERAGE(BB81:BB90)</f>
        <v>1</v>
      </c>
      <c r="BD81" s="354">
        <f>1780+20+195+180+634+310</f>
        <v>3119</v>
      </c>
      <c r="BE81" s="331">
        <v>1</v>
      </c>
      <c r="BF81" s="331">
        <f>+AVERAGE(BE81:BE90)</f>
        <v>1</v>
      </c>
      <c r="BG81" s="354">
        <f>1780+20+195+180+634+310+211</f>
        <v>3330</v>
      </c>
      <c r="BH81" s="331">
        <v>1</v>
      </c>
      <c r="BI81" s="331">
        <f>+AVERAGE(BH81:BH90)</f>
        <v>1</v>
      </c>
      <c r="BJ81" s="354">
        <f>1780+20+195+180+634+310+211</f>
        <v>3330</v>
      </c>
      <c r="BK81" s="331">
        <v>1</v>
      </c>
      <c r="BL81" s="331">
        <f>+AVERAGE(BK81:BK90)</f>
        <v>1</v>
      </c>
      <c r="BM81" s="354">
        <f>1780+20+195+180+634+310+211+284</f>
        <v>3614</v>
      </c>
      <c r="BN81" s="331">
        <v>1</v>
      </c>
      <c r="BO81" s="331">
        <f>+AVERAGE(BN81:BN90)</f>
        <v>1</v>
      </c>
      <c r="BP81" s="567" t="s">
        <v>202</v>
      </c>
      <c r="BQ81" s="567" t="s">
        <v>203</v>
      </c>
      <c r="BR81" s="567" t="s">
        <v>204</v>
      </c>
      <c r="BS81" s="87">
        <v>967970790</v>
      </c>
      <c r="BT81" s="88" t="s">
        <v>291</v>
      </c>
      <c r="BU81" s="567" t="s">
        <v>609</v>
      </c>
      <c r="BV81" s="567" t="s">
        <v>610</v>
      </c>
      <c r="BW81" s="578">
        <v>12008657043</v>
      </c>
      <c r="BX81" s="578">
        <v>3847601843.6700001</v>
      </c>
      <c r="BY81" s="606">
        <f>BX81/BW81</f>
        <v>0.32040234223466452</v>
      </c>
      <c r="BZ81" s="749">
        <v>8320929773</v>
      </c>
      <c r="CA81" s="749">
        <v>3728239736.4000001</v>
      </c>
      <c r="CB81" s="749">
        <v>3582075050.4000001</v>
      </c>
      <c r="CC81" s="341">
        <f>CA81/BZ81</f>
        <v>0.44805566662724439</v>
      </c>
      <c r="CD81" s="341">
        <f>CB81/BZ81</f>
        <v>0.43048975873143691</v>
      </c>
      <c r="CE81" s="386">
        <v>12008657043</v>
      </c>
      <c r="CF81" s="386">
        <v>7907764085.1899996</v>
      </c>
      <c r="CG81" s="389">
        <f>CF81/CE81</f>
        <v>0.65850528138777487</v>
      </c>
      <c r="CH81" s="386">
        <v>20795460296.77</v>
      </c>
      <c r="CI81" s="386">
        <v>9532007935.4400005</v>
      </c>
      <c r="CJ81" s="389">
        <f>CI81/CH81</f>
        <v>0.45836965373257615</v>
      </c>
      <c r="CK81" s="386">
        <v>20795460296.77</v>
      </c>
      <c r="CL81" s="386">
        <v>9532007935.4400005</v>
      </c>
      <c r="CM81" s="389">
        <f>CL81/CK81</f>
        <v>0.45836965373257615</v>
      </c>
      <c r="CN81" s="386">
        <v>20795460296.77</v>
      </c>
      <c r="CO81" s="386">
        <v>9865565766.4500008</v>
      </c>
      <c r="CP81" s="389">
        <f>CO81/CN81</f>
        <v>0.47440958871116423</v>
      </c>
      <c r="CQ81" s="386">
        <v>20795460296.77</v>
      </c>
      <c r="CR81" s="386">
        <v>10083430014.450001</v>
      </c>
      <c r="CS81" s="389">
        <f>CO81/CN81</f>
        <v>0.47440958871116423</v>
      </c>
      <c r="CT81" s="386">
        <v>20854538296.77</v>
      </c>
      <c r="CU81" s="386">
        <v>11323955946.450001</v>
      </c>
      <c r="CV81" s="389">
        <f>CR81/CQ81</f>
        <v>0.48488611795797482</v>
      </c>
      <c r="CW81" s="386">
        <v>20854538296.77</v>
      </c>
      <c r="CX81" s="386">
        <v>15306841476.450001</v>
      </c>
      <c r="CY81" s="389">
        <f>CX81/CW81</f>
        <v>0.73398131661446375</v>
      </c>
      <c r="CZ81" s="463">
        <v>17166811026.77</v>
      </c>
      <c r="DA81" s="463">
        <v>12667339053.969999</v>
      </c>
      <c r="DB81" s="463">
        <v>12216308891.969999</v>
      </c>
      <c r="DC81" s="389">
        <f>DA81/CZ81</f>
        <v>0.73789704064525996</v>
      </c>
      <c r="DD81" s="389">
        <f>DB81/CZ81</f>
        <v>0.71162365991679144</v>
      </c>
      <c r="DE81" s="386">
        <v>20854538296.77</v>
      </c>
      <c r="DF81" s="386">
        <v>17160411500.450001</v>
      </c>
      <c r="DG81" s="389">
        <f>DF81/DE81</f>
        <v>0.82286221139251237</v>
      </c>
      <c r="DH81" s="386">
        <v>20854538296.77</v>
      </c>
      <c r="DI81" s="386">
        <v>18324991321.18</v>
      </c>
      <c r="DJ81" s="389">
        <f>DI81/DH81</f>
        <v>0.87870520365431526</v>
      </c>
      <c r="DK81" s="386">
        <v>23816229834.77</v>
      </c>
      <c r="DL81" s="386">
        <v>18749505236.799999</v>
      </c>
      <c r="DM81" s="389">
        <f>DL81/DK81</f>
        <v>0.78725748646526139</v>
      </c>
      <c r="DN81" s="85" t="s">
        <v>208</v>
      </c>
      <c r="DO81" s="89" t="s">
        <v>209</v>
      </c>
      <c r="DP81" s="90" t="s">
        <v>210</v>
      </c>
      <c r="DQ81" s="91" t="s">
        <v>291</v>
      </c>
      <c r="DR81" s="92">
        <v>44927</v>
      </c>
      <c r="DS81" s="733" t="s">
        <v>611</v>
      </c>
      <c r="DT81" s="328" t="s">
        <v>612</v>
      </c>
      <c r="DU81" s="328" t="s">
        <v>613</v>
      </c>
      <c r="DV81" s="310" t="s">
        <v>614</v>
      </c>
      <c r="DW81" s="310" t="s">
        <v>615</v>
      </c>
      <c r="DX81" s="310" t="s">
        <v>616</v>
      </c>
      <c r="DY81" s="310" t="s">
        <v>617</v>
      </c>
      <c r="DZ81" s="310" t="s">
        <v>618</v>
      </c>
      <c r="EA81" s="310" t="s">
        <v>619</v>
      </c>
      <c r="EB81" s="310" t="s">
        <v>620</v>
      </c>
      <c r="EC81" s="310" t="s">
        <v>795</v>
      </c>
      <c r="ED81" s="310" t="s">
        <v>794</v>
      </c>
      <c r="EE81" s="310" t="s">
        <v>221</v>
      </c>
      <c r="EF81" s="328" t="s">
        <v>306</v>
      </c>
    </row>
    <row r="82" spans="1:136" s="93" customFormat="1" ht="50.25" customHeight="1" x14ac:dyDescent="0.4">
      <c r="A82" s="633"/>
      <c r="B82" s="633"/>
      <c r="C82" s="633"/>
      <c r="D82" s="610"/>
      <c r="E82" s="436"/>
      <c r="F82" s="610"/>
      <c r="G82" s="436"/>
      <c r="H82" s="436"/>
      <c r="I82" s="436"/>
      <c r="J82" s="436"/>
      <c r="K82" s="628"/>
      <c r="L82" s="616"/>
      <c r="M82" s="616"/>
      <c r="N82" s="617"/>
      <c r="O82" s="616"/>
      <c r="P82" s="616"/>
      <c r="Q82" s="616"/>
      <c r="R82" s="616"/>
      <c r="S82" s="348"/>
      <c r="T82" s="348"/>
      <c r="U82" s="348"/>
      <c r="V82" s="348"/>
      <c r="W82" s="331"/>
      <c r="X82" s="331"/>
      <c r="Y82" s="348"/>
      <c r="Z82" s="331"/>
      <c r="AA82" s="331"/>
      <c r="AB82" s="348"/>
      <c r="AC82" s="331"/>
      <c r="AD82" s="331"/>
      <c r="AE82" s="348"/>
      <c r="AF82" s="331"/>
      <c r="AG82" s="331"/>
      <c r="AH82" s="348"/>
      <c r="AI82" s="331"/>
      <c r="AJ82" s="331"/>
      <c r="AK82" s="376"/>
      <c r="AL82" s="331"/>
      <c r="AM82" s="331"/>
      <c r="AN82" s="620"/>
      <c r="AO82" s="620"/>
      <c r="AP82" s="567"/>
      <c r="AQ82" s="567"/>
      <c r="AR82" s="132" t="s">
        <v>621</v>
      </c>
      <c r="AS82" s="348"/>
      <c r="AT82" s="86"/>
      <c r="AU82" s="134">
        <v>0.08</v>
      </c>
      <c r="AV82" s="123">
        <v>44958</v>
      </c>
      <c r="AW82" s="124">
        <v>45275</v>
      </c>
      <c r="AX82" s="29">
        <f t="shared" si="14"/>
        <v>317</v>
      </c>
      <c r="AY82" s="348"/>
      <c r="AZ82" s="348"/>
      <c r="BA82" s="356"/>
      <c r="BB82" s="331"/>
      <c r="BC82" s="331"/>
      <c r="BD82" s="356"/>
      <c r="BE82" s="331"/>
      <c r="BF82" s="331"/>
      <c r="BG82" s="356"/>
      <c r="BH82" s="331"/>
      <c r="BI82" s="331"/>
      <c r="BJ82" s="356"/>
      <c r="BK82" s="331"/>
      <c r="BL82" s="331"/>
      <c r="BM82" s="356"/>
      <c r="BN82" s="331"/>
      <c r="BO82" s="331"/>
      <c r="BP82" s="567"/>
      <c r="BQ82" s="567"/>
      <c r="BR82" s="567"/>
      <c r="BS82" s="87">
        <v>172859950</v>
      </c>
      <c r="BT82" s="88" t="s">
        <v>291</v>
      </c>
      <c r="BU82" s="567"/>
      <c r="BV82" s="567"/>
      <c r="BW82" s="578"/>
      <c r="BX82" s="578"/>
      <c r="BY82" s="606"/>
      <c r="BZ82" s="750"/>
      <c r="CA82" s="750"/>
      <c r="CB82" s="750"/>
      <c r="CC82" s="342"/>
      <c r="CD82" s="342"/>
      <c r="CE82" s="446"/>
      <c r="CF82" s="446"/>
      <c r="CG82" s="390"/>
      <c r="CH82" s="446"/>
      <c r="CI82" s="446"/>
      <c r="CJ82" s="390"/>
      <c r="CK82" s="446"/>
      <c r="CL82" s="446"/>
      <c r="CM82" s="390"/>
      <c r="CN82" s="446"/>
      <c r="CO82" s="446"/>
      <c r="CP82" s="390"/>
      <c r="CQ82" s="446"/>
      <c r="CR82" s="446"/>
      <c r="CS82" s="390"/>
      <c r="CT82" s="560"/>
      <c r="CU82" s="433"/>
      <c r="CV82" s="390"/>
      <c r="CW82" s="410"/>
      <c r="CX82" s="400"/>
      <c r="CY82" s="390"/>
      <c r="CZ82" s="464"/>
      <c r="DA82" s="464"/>
      <c r="DB82" s="464"/>
      <c r="DC82" s="390"/>
      <c r="DD82" s="390"/>
      <c r="DE82" s="410"/>
      <c r="DF82" s="400"/>
      <c r="DG82" s="390"/>
      <c r="DH82" s="410"/>
      <c r="DI82" s="400"/>
      <c r="DJ82" s="390"/>
      <c r="DK82" s="410"/>
      <c r="DL82" s="400"/>
      <c r="DM82" s="390"/>
      <c r="DN82" s="85" t="s">
        <v>208</v>
      </c>
      <c r="DO82" s="89" t="s">
        <v>209</v>
      </c>
      <c r="DP82" s="90" t="s">
        <v>210</v>
      </c>
      <c r="DQ82" s="91" t="s">
        <v>291</v>
      </c>
      <c r="DR82" s="92">
        <v>44927</v>
      </c>
      <c r="DS82" s="734"/>
      <c r="DT82" s="330"/>
      <c r="DU82" s="330"/>
      <c r="DV82" s="311"/>
      <c r="DW82" s="311"/>
      <c r="DX82" s="311"/>
      <c r="DY82" s="311"/>
      <c r="DZ82" s="311"/>
      <c r="EA82" s="311"/>
      <c r="EB82" s="311"/>
      <c r="EC82" s="311"/>
      <c r="ED82" s="311"/>
      <c r="EE82" s="312"/>
      <c r="EF82" s="329"/>
    </row>
    <row r="83" spans="1:136" s="93" customFormat="1" ht="50.25" customHeight="1" x14ac:dyDescent="0.4">
      <c r="A83" s="633"/>
      <c r="B83" s="633"/>
      <c r="C83" s="633"/>
      <c r="D83" s="610"/>
      <c r="E83" s="436"/>
      <c r="F83" s="610"/>
      <c r="G83" s="436"/>
      <c r="H83" s="436"/>
      <c r="I83" s="436"/>
      <c r="J83" s="436"/>
      <c r="K83" s="628"/>
      <c r="L83" s="376" t="s">
        <v>622</v>
      </c>
      <c r="M83" s="376" t="s">
        <v>189</v>
      </c>
      <c r="N83" s="348">
        <v>0</v>
      </c>
      <c r="O83" s="376" t="s">
        <v>623</v>
      </c>
      <c r="P83" s="376"/>
      <c r="Q83" s="376">
        <f>172737+173537</f>
        <v>346274</v>
      </c>
      <c r="R83" s="376" t="s">
        <v>252</v>
      </c>
      <c r="S83" s="348">
        <v>209842</v>
      </c>
      <c r="T83" s="348">
        <v>209842</v>
      </c>
      <c r="U83" s="348">
        <v>783272</v>
      </c>
      <c r="V83" s="348">
        <f>76580+15568+1000+664+21459+172737+19408+20000</f>
        <v>327416</v>
      </c>
      <c r="W83" s="331">
        <v>1</v>
      </c>
      <c r="X83" s="331">
        <v>1</v>
      </c>
      <c r="Y83" s="348">
        <f>76580+15568+1000+664+21459+172737+19408+20000+29012</f>
        <v>356428</v>
      </c>
      <c r="Z83" s="331">
        <v>1</v>
      </c>
      <c r="AA83" s="331">
        <v>1</v>
      </c>
      <c r="AB83" s="348">
        <f>76580+15568+1000+664+21459+172737+19408+20000+29012+15468</f>
        <v>371896</v>
      </c>
      <c r="AC83" s="331">
        <v>1</v>
      </c>
      <c r="AD83" s="331">
        <v>1</v>
      </c>
      <c r="AE83" s="348">
        <f>76580+15568+1000+664+21459+172737+19408+20000+29012+15468+20420</f>
        <v>392316</v>
      </c>
      <c r="AF83" s="331">
        <v>1</v>
      </c>
      <c r="AG83" s="331">
        <v>1</v>
      </c>
      <c r="AH83" s="348">
        <f>76580+15568+1000+664+21459+172737+19408+20000+29012+15468+20420+4974</f>
        <v>397290</v>
      </c>
      <c r="AI83" s="331">
        <v>1</v>
      </c>
      <c r="AJ83" s="331">
        <v>1</v>
      </c>
      <c r="AK83" s="376"/>
      <c r="AL83" s="331"/>
      <c r="AM83" s="331"/>
      <c r="AN83" s="620"/>
      <c r="AO83" s="620"/>
      <c r="AP83" s="567"/>
      <c r="AQ83" s="567"/>
      <c r="AR83" s="132" t="s">
        <v>624</v>
      </c>
      <c r="AS83" s="348"/>
      <c r="AT83" s="86"/>
      <c r="AU83" s="134">
        <v>0.05</v>
      </c>
      <c r="AV83" s="123">
        <v>44958</v>
      </c>
      <c r="AW83" s="124">
        <v>45275</v>
      </c>
      <c r="AX83" s="29">
        <f t="shared" si="14"/>
        <v>317</v>
      </c>
      <c r="AY83" s="348">
        <v>209842</v>
      </c>
      <c r="AZ83" s="348">
        <v>76580</v>
      </c>
      <c r="BA83" s="348">
        <f>76580+15568+1000+664+21459+172737+19408+20000</f>
        <v>327416</v>
      </c>
      <c r="BB83" s="341">
        <v>1</v>
      </c>
      <c r="BC83" s="331"/>
      <c r="BD83" s="348">
        <f>76580+15568+1000+664+21459+172737+19408+20000+29012</f>
        <v>356428</v>
      </c>
      <c r="BE83" s="341">
        <v>1</v>
      </c>
      <c r="BF83" s="331"/>
      <c r="BG83" s="348">
        <f>76580+15568+1000+664+21459+172737+19408+20000+29012+15468</f>
        <v>371896</v>
      </c>
      <c r="BH83" s="341">
        <v>1</v>
      </c>
      <c r="BI83" s="331"/>
      <c r="BJ83" s="348">
        <f>76580+15568+1000+664+21459+172737+19408+20000+29012+15468</f>
        <v>371896</v>
      </c>
      <c r="BK83" s="341">
        <v>1</v>
      </c>
      <c r="BL83" s="331"/>
      <c r="BM83" s="348">
        <f>76580+15568+1000+664+21459+172737+19408+20000+29012+15468+20420+4974</f>
        <v>397290</v>
      </c>
      <c r="BN83" s="341">
        <v>1</v>
      </c>
      <c r="BO83" s="331"/>
      <c r="BP83" s="567"/>
      <c r="BQ83" s="567"/>
      <c r="BR83" s="567"/>
      <c r="BS83" s="94">
        <v>36245700</v>
      </c>
      <c r="BT83" s="88" t="s">
        <v>291</v>
      </c>
      <c r="BU83" s="567"/>
      <c r="BV83" s="567"/>
      <c r="BW83" s="578"/>
      <c r="BX83" s="578"/>
      <c r="BY83" s="606"/>
      <c r="BZ83" s="750"/>
      <c r="CA83" s="750"/>
      <c r="CB83" s="750"/>
      <c r="CC83" s="342"/>
      <c r="CD83" s="342"/>
      <c r="CE83" s="446"/>
      <c r="CF83" s="446"/>
      <c r="CG83" s="390"/>
      <c r="CH83" s="446"/>
      <c r="CI83" s="446"/>
      <c r="CJ83" s="390"/>
      <c r="CK83" s="446"/>
      <c r="CL83" s="446"/>
      <c r="CM83" s="390"/>
      <c r="CN83" s="446"/>
      <c r="CO83" s="446"/>
      <c r="CP83" s="390"/>
      <c r="CQ83" s="446"/>
      <c r="CR83" s="446"/>
      <c r="CS83" s="390"/>
      <c r="CT83" s="560"/>
      <c r="CU83" s="433"/>
      <c r="CV83" s="390"/>
      <c r="CW83" s="410"/>
      <c r="CX83" s="400"/>
      <c r="CY83" s="390"/>
      <c r="CZ83" s="464"/>
      <c r="DA83" s="464"/>
      <c r="DB83" s="464"/>
      <c r="DC83" s="390"/>
      <c r="DD83" s="390"/>
      <c r="DE83" s="410"/>
      <c r="DF83" s="400"/>
      <c r="DG83" s="390"/>
      <c r="DH83" s="410"/>
      <c r="DI83" s="400"/>
      <c r="DJ83" s="390"/>
      <c r="DK83" s="410"/>
      <c r="DL83" s="400"/>
      <c r="DM83" s="390"/>
      <c r="DN83" s="85" t="s">
        <v>208</v>
      </c>
      <c r="DO83" s="89" t="s">
        <v>209</v>
      </c>
      <c r="DP83" s="90" t="s">
        <v>210</v>
      </c>
      <c r="DQ83" s="91" t="s">
        <v>291</v>
      </c>
      <c r="DR83" s="92">
        <v>44927</v>
      </c>
      <c r="DS83" s="734"/>
      <c r="DT83" s="328" t="s">
        <v>625</v>
      </c>
      <c r="DU83" s="328" t="s">
        <v>626</v>
      </c>
      <c r="DV83" s="328" t="s">
        <v>627</v>
      </c>
      <c r="DW83" s="328" t="s">
        <v>628</v>
      </c>
      <c r="DX83" s="328" t="s">
        <v>629</v>
      </c>
      <c r="DY83" s="328" t="s">
        <v>630</v>
      </c>
      <c r="DZ83" s="328" t="s">
        <v>631</v>
      </c>
      <c r="EA83" s="328" t="s">
        <v>632</v>
      </c>
      <c r="EB83" s="328" t="s">
        <v>633</v>
      </c>
      <c r="EC83" s="328" t="s">
        <v>732</v>
      </c>
      <c r="ED83" s="328" t="s">
        <v>796</v>
      </c>
      <c r="EE83" s="312"/>
      <c r="EF83" s="329"/>
    </row>
    <row r="84" spans="1:136" s="93" customFormat="1" ht="50.25" customHeight="1" x14ac:dyDescent="0.4">
      <c r="A84" s="633"/>
      <c r="B84" s="633"/>
      <c r="C84" s="633"/>
      <c r="D84" s="610"/>
      <c r="E84" s="436"/>
      <c r="F84" s="610"/>
      <c r="G84" s="436"/>
      <c r="H84" s="436"/>
      <c r="I84" s="436"/>
      <c r="J84" s="436"/>
      <c r="K84" s="628"/>
      <c r="L84" s="376"/>
      <c r="M84" s="376"/>
      <c r="N84" s="348"/>
      <c r="O84" s="376"/>
      <c r="P84" s="376"/>
      <c r="Q84" s="376"/>
      <c r="R84" s="376"/>
      <c r="S84" s="348"/>
      <c r="T84" s="348"/>
      <c r="U84" s="348"/>
      <c r="V84" s="348"/>
      <c r="W84" s="331"/>
      <c r="X84" s="331"/>
      <c r="Y84" s="348"/>
      <c r="Z84" s="331"/>
      <c r="AA84" s="331"/>
      <c r="AB84" s="348"/>
      <c r="AC84" s="331"/>
      <c r="AD84" s="331"/>
      <c r="AE84" s="348"/>
      <c r="AF84" s="331"/>
      <c r="AG84" s="331"/>
      <c r="AH84" s="348"/>
      <c r="AI84" s="331"/>
      <c r="AJ84" s="331"/>
      <c r="AK84" s="376"/>
      <c r="AL84" s="331"/>
      <c r="AM84" s="331"/>
      <c r="AN84" s="620"/>
      <c r="AO84" s="620"/>
      <c r="AP84" s="567"/>
      <c r="AQ84" s="567"/>
      <c r="AR84" s="132" t="s">
        <v>634</v>
      </c>
      <c r="AS84" s="348"/>
      <c r="AT84" s="86"/>
      <c r="AU84" s="134">
        <v>0.1</v>
      </c>
      <c r="AV84" s="123">
        <v>44958</v>
      </c>
      <c r="AW84" s="124">
        <v>45275</v>
      </c>
      <c r="AX84" s="29">
        <f t="shared" si="14"/>
        <v>317</v>
      </c>
      <c r="AY84" s="348"/>
      <c r="AZ84" s="348"/>
      <c r="BA84" s="348"/>
      <c r="BB84" s="342"/>
      <c r="BC84" s="331"/>
      <c r="BD84" s="348"/>
      <c r="BE84" s="342"/>
      <c r="BF84" s="331"/>
      <c r="BG84" s="348"/>
      <c r="BH84" s="342"/>
      <c r="BI84" s="331"/>
      <c r="BJ84" s="348"/>
      <c r="BK84" s="342"/>
      <c r="BL84" s="331"/>
      <c r="BM84" s="348"/>
      <c r="BN84" s="342"/>
      <c r="BO84" s="331"/>
      <c r="BP84" s="567"/>
      <c r="BQ84" s="567"/>
      <c r="BR84" s="567"/>
      <c r="BS84" s="87">
        <v>683535000</v>
      </c>
      <c r="BT84" s="88" t="s">
        <v>291</v>
      </c>
      <c r="BU84" s="567"/>
      <c r="BV84" s="567"/>
      <c r="BW84" s="578"/>
      <c r="BX84" s="578"/>
      <c r="BY84" s="606"/>
      <c r="BZ84" s="750"/>
      <c r="CA84" s="750"/>
      <c r="CB84" s="750"/>
      <c r="CC84" s="342"/>
      <c r="CD84" s="342"/>
      <c r="CE84" s="446"/>
      <c r="CF84" s="446"/>
      <c r="CG84" s="390"/>
      <c r="CH84" s="446"/>
      <c r="CI84" s="446"/>
      <c r="CJ84" s="390"/>
      <c r="CK84" s="446"/>
      <c r="CL84" s="446"/>
      <c r="CM84" s="390"/>
      <c r="CN84" s="446"/>
      <c r="CO84" s="446"/>
      <c r="CP84" s="390"/>
      <c r="CQ84" s="446"/>
      <c r="CR84" s="446"/>
      <c r="CS84" s="390"/>
      <c r="CT84" s="560"/>
      <c r="CU84" s="433"/>
      <c r="CV84" s="390"/>
      <c r="CW84" s="410"/>
      <c r="CX84" s="400"/>
      <c r="CY84" s="390"/>
      <c r="CZ84" s="464"/>
      <c r="DA84" s="464"/>
      <c r="DB84" s="464"/>
      <c r="DC84" s="390"/>
      <c r="DD84" s="390"/>
      <c r="DE84" s="410"/>
      <c r="DF84" s="400"/>
      <c r="DG84" s="390"/>
      <c r="DH84" s="410"/>
      <c r="DI84" s="400"/>
      <c r="DJ84" s="390"/>
      <c r="DK84" s="410"/>
      <c r="DL84" s="400"/>
      <c r="DM84" s="390"/>
      <c r="DN84" s="85" t="s">
        <v>208</v>
      </c>
      <c r="DO84" s="89" t="s">
        <v>635</v>
      </c>
      <c r="DP84" s="90" t="s">
        <v>210</v>
      </c>
      <c r="DQ84" s="91" t="s">
        <v>291</v>
      </c>
      <c r="DR84" s="92">
        <v>44927</v>
      </c>
      <c r="DS84" s="734"/>
      <c r="DT84" s="329"/>
      <c r="DU84" s="329"/>
      <c r="DV84" s="329"/>
      <c r="DW84" s="329"/>
      <c r="DX84" s="329"/>
      <c r="DY84" s="329"/>
      <c r="DZ84" s="329"/>
      <c r="EA84" s="329"/>
      <c r="EB84" s="329"/>
      <c r="EC84" s="329"/>
      <c r="ED84" s="329"/>
      <c r="EE84" s="312"/>
      <c r="EF84" s="329"/>
    </row>
    <row r="85" spans="1:136" s="93" customFormat="1" ht="50.25" customHeight="1" x14ac:dyDescent="0.4">
      <c r="A85" s="633"/>
      <c r="B85" s="633"/>
      <c r="C85" s="633"/>
      <c r="D85" s="610"/>
      <c r="E85" s="436"/>
      <c r="F85" s="610"/>
      <c r="G85" s="436"/>
      <c r="H85" s="436"/>
      <c r="I85" s="436"/>
      <c r="J85" s="436"/>
      <c r="K85" s="628"/>
      <c r="L85" s="376"/>
      <c r="M85" s="376"/>
      <c r="N85" s="348"/>
      <c r="O85" s="376"/>
      <c r="P85" s="376"/>
      <c r="Q85" s="376"/>
      <c r="R85" s="376"/>
      <c r="S85" s="348"/>
      <c r="T85" s="348"/>
      <c r="U85" s="348"/>
      <c r="V85" s="348"/>
      <c r="W85" s="331"/>
      <c r="X85" s="331"/>
      <c r="Y85" s="348"/>
      <c r="Z85" s="331"/>
      <c r="AA85" s="331"/>
      <c r="AB85" s="348"/>
      <c r="AC85" s="331"/>
      <c r="AD85" s="331"/>
      <c r="AE85" s="348"/>
      <c r="AF85" s="331"/>
      <c r="AG85" s="331"/>
      <c r="AH85" s="348"/>
      <c r="AI85" s="331"/>
      <c r="AJ85" s="331"/>
      <c r="AK85" s="376"/>
      <c r="AL85" s="331"/>
      <c r="AM85" s="331"/>
      <c r="AN85" s="620"/>
      <c r="AO85" s="620"/>
      <c r="AP85" s="567"/>
      <c r="AQ85" s="567"/>
      <c r="AR85" s="132" t="s">
        <v>636</v>
      </c>
      <c r="AS85" s="348"/>
      <c r="AT85" s="86"/>
      <c r="AU85" s="134">
        <v>0.05</v>
      </c>
      <c r="AV85" s="123">
        <v>44958</v>
      </c>
      <c r="AW85" s="124">
        <v>45275</v>
      </c>
      <c r="AX85" s="29">
        <f t="shared" si="14"/>
        <v>317</v>
      </c>
      <c r="AY85" s="348"/>
      <c r="AZ85" s="348"/>
      <c r="BA85" s="348"/>
      <c r="BB85" s="343"/>
      <c r="BC85" s="331"/>
      <c r="BD85" s="348"/>
      <c r="BE85" s="343"/>
      <c r="BF85" s="331"/>
      <c r="BG85" s="348"/>
      <c r="BH85" s="343"/>
      <c r="BI85" s="331"/>
      <c r="BJ85" s="348"/>
      <c r="BK85" s="343"/>
      <c r="BL85" s="331"/>
      <c r="BM85" s="348"/>
      <c r="BN85" s="343"/>
      <c r="BO85" s="331"/>
      <c r="BP85" s="567"/>
      <c r="BQ85" s="567"/>
      <c r="BR85" s="567"/>
      <c r="BS85" s="87">
        <v>36245700</v>
      </c>
      <c r="BT85" s="88" t="s">
        <v>291</v>
      </c>
      <c r="BU85" s="567"/>
      <c r="BV85" s="567"/>
      <c r="BW85" s="578"/>
      <c r="BX85" s="578"/>
      <c r="BY85" s="606"/>
      <c r="BZ85" s="750"/>
      <c r="CA85" s="750"/>
      <c r="CB85" s="750"/>
      <c r="CC85" s="342"/>
      <c r="CD85" s="342"/>
      <c r="CE85" s="446"/>
      <c r="CF85" s="446"/>
      <c r="CG85" s="390"/>
      <c r="CH85" s="446"/>
      <c r="CI85" s="446"/>
      <c r="CJ85" s="390"/>
      <c r="CK85" s="446"/>
      <c r="CL85" s="446"/>
      <c r="CM85" s="390"/>
      <c r="CN85" s="446"/>
      <c r="CO85" s="446"/>
      <c r="CP85" s="390"/>
      <c r="CQ85" s="446"/>
      <c r="CR85" s="446"/>
      <c r="CS85" s="390"/>
      <c r="CT85" s="560"/>
      <c r="CU85" s="433"/>
      <c r="CV85" s="390"/>
      <c r="CW85" s="410"/>
      <c r="CX85" s="400"/>
      <c r="CY85" s="390"/>
      <c r="CZ85" s="464"/>
      <c r="DA85" s="464"/>
      <c r="DB85" s="464"/>
      <c r="DC85" s="390"/>
      <c r="DD85" s="390"/>
      <c r="DE85" s="410"/>
      <c r="DF85" s="400"/>
      <c r="DG85" s="390"/>
      <c r="DH85" s="410"/>
      <c r="DI85" s="400"/>
      <c r="DJ85" s="390"/>
      <c r="DK85" s="410"/>
      <c r="DL85" s="400"/>
      <c r="DM85" s="390"/>
      <c r="DN85" s="85" t="s">
        <v>208</v>
      </c>
      <c r="DO85" s="89" t="s">
        <v>209</v>
      </c>
      <c r="DP85" s="90" t="s">
        <v>210</v>
      </c>
      <c r="DQ85" s="91" t="s">
        <v>291</v>
      </c>
      <c r="DR85" s="92">
        <v>44927</v>
      </c>
      <c r="DS85" s="734"/>
      <c r="DT85" s="330"/>
      <c r="DU85" s="330"/>
      <c r="DV85" s="330"/>
      <c r="DW85" s="330"/>
      <c r="DX85" s="330"/>
      <c r="DY85" s="330"/>
      <c r="DZ85" s="330"/>
      <c r="EA85" s="330"/>
      <c r="EB85" s="330"/>
      <c r="EC85" s="330"/>
      <c r="ED85" s="330"/>
      <c r="EE85" s="312"/>
      <c r="EF85" s="329"/>
    </row>
    <row r="86" spans="1:136" s="93" customFormat="1" ht="50.25" customHeight="1" x14ac:dyDescent="0.4">
      <c r="A86" s="633"/>
      <c r="B86" s="633"/>
      <c r="C86" s="633"/>
      <c r="D86" s="610"/>
      <c r="E86" s="436"/>
      <c r="F86" s="610"/>
      <c r="G86" s="436"/>
      <c r="H86" s="436"/>
      <c r="I86" s="436"/>
      <c r="J86" s="436"/>
      <c r="K86" s="628"/>
      <c r="L86" s="621" t="s">
        <v>637</v>
      </c>
      <c r="M86" s="621" t="s">
        <v>189</v>
      </c>
      <c r="N86" s="622">
        <v>83</v>
      </c>
      <c r="O86" s="621" t="s">
        <v>638</v>
      </c>
      <c r="P86" s="376"/>
      <c r="Q86" s="376" t="s">
        <v>193</v>
      </c>
      <c r="R86" s="376" t="s">
        <v>639</v>
      </c>
      <c r="S86" s="348">
        <v>110</v>
      </c>
      <c r="T86" s="348">
        <v>240</v>
      </c>
      <c r="U86" s="352">
        <v>679</v>
      </c>
      <c r="V86" s="358">
        <f>194+20+17+13+16+3+2</f>
        <v>265</v>
      </c>
      <c r="W86" s="331">
        <v>1</v>
      </c>
      <c r="X86" s="331">
        <v>1</v>
      </c>
      <c r="Y86" s="358">
        <f>194+20+17+13+16+3+2+1</f>
        <v>266</v>
      </c>
      <c r="Z86" s="331">
        <v>1</v>
      </c>
      <c r="AA86" s="331">
        <v>1</v>
      </c>
      <c r="AB86" s="358">
        <f>194+20+17+13+16+3+2+1</f>
        <v>266</v>
      </c>
      <c r="AC86" s="331">
        <v>1</v>
      </c>
      <c r="AD86" s="331">
        <v>1</v>
      </c>
      <c r="AE86" s="358">
        <f>194+20+17+13+16+3+2+1</f>
        <v>266</v>
      </c>
      <c r="AF86" s="331">
        <v>1</v>
      </c>
      <c r="AG86" s="331">
        <v>1</v>
      </c>
      <c r="AH86" s="358">
        <f>194+20+17+13+16+3+2+1+2</f>
        <v>268</v>
      </c>
      <c r="AI86" s="331">
        <v>1</v>
      </c>
      <c r="AJ86" s="331">
        <v>1</v>
      </c>
      <c r="AK86" s="376"/>
      <c r="AL86" s="331"/>
      <c r="AM86" s="331"/>
      <c r="AN86" s="620"/>
      <c r="AO86" s="620"/>
      <c r="AP86" s="567"/>
      <c r="AQ86" s="567"/>
      <c r="AR86" s="132" t="s">
        <v>640</v>
      </c>
      <c r="AS86" s="348"/>
      <c r="AT86" s="81"/>
      <c r="AU86" s="134">
        <v>0.1</v>
      </c>
      <c r="AV86" s="123">
        <v>44958</v>
      </c>
      <c r="AW86" s="124">
        <v>45275</v>
      </c>
      <c r="AX86" s="29">
        <f t="shared" si="14"/>
        <v>317</v>
      </c>
      <c r="AY86" s="348" t="s">
        <v>238</v>
      </c>
      <c r="AZ86" s="348" t="s">
        <v>238</v>
      </c>
      <c r="BA86" s="358">
        <f>194+20+17+13+16+3+2</f>
        <v>265</v>
      </c>
      <c r="BB86" s="341">
        <v>1</v>
      </c>
      <c r="BC86" s="331"/>
      <c r="BD86" s="358">
        <f>194+20+17+13+16+3+2+1</f>
        <v>266</v>
      </c>
      <c r="BE86" s="341">
        <v>1</v>
      </c>
      <c r="BF86" s="331"/>
      <c r="BG86" s="358">
        <f>194+20+17+13+16+3+2+1</f>
        <v>266</v>
      </c>
      <c r="BH86" s="341">
        <v>1</v>
      </c>
      <c r="BI86" s="331"/>
      <c r="BJ86" s="358">
        <f>194+20+17+13+16+3+2+1</f>
        <v>266</v>
      </c>
      <c r="BK86" s="341">
        <v>1</v>
      </c>
      <c r="BL86" s="331"/>
      <c r="BM86" s="358">
        <f>194+20+17+13+16+3+2+1+2</f>
        <v>268</v>
      </c>
      <c r="BN86" s="341">
        <v>1</v>
      </c>
      <c r="BO86" s="331"/>
      <c r="BP86" s="567"/>
      <c r="BQ86" s="567"/>
      <c r="BR86" s="567"/>
      <c r="BS86" s="87">
        <f>1072378793+1687727270</f>
        <v>2760106063</v>
      </c>
      <c r="BT86" s="88" t="s">
        <v>291</v>
      </c>
      <c r="BU86" s="567"/>
      <c r="BV86" s="567"/>
      <c r="BW86" s="578"/>
      <c r="BX86" s="578"/>
      <c r="BY86" s="606"/>
      <c r="BZ86" s="750"/>
      <c r="CA86" s="750"/>
      <c r="CB86" s="750"/>
      <c r="CC86" s="342"/>
      <c r="CD86" s="342"/>
      <c r="CE86" s="446"/>
      <c r="CF86" s="446"/>
      <c r="CG86" s="390"/>
      <c r="CH86" s="446"/>
      <c r="CI86" s="446"/>
      <c r="CJ86" s="390"/>
      <c r="CK86" s="446"/>
      <c r="CL86" s="446"/>
      <c r="CM86" s="390"/>
      <c r="CN86" s="446"/>
      <c r="CO86" s="446"/>
      <c r="CP86" s="390"/>
      <c r="CQ86" s="446"/>
      <c r="CR86" s="446"/>
      <c r="CS86" s="390"/>
      <c r="CT86" s="560"/>
      <c r="CU86" s="433"/>
      <c r="CV86" s="390"/>
      <c r="CW86" s="410"/>
      <c r="CX86" s="400"/>
      <c r="CY86" s="390"/>
      <c r="CZ86" s="464"/>
      <c r="DA86" s="464"/>
      <c r="DB86" s="464"/>
      <c r="DC86" s="390"/>
      <c r="DD86" s="390"/>
      <c r="DE86" s="410"/>
      <c r="DF86" s="400"/>
      <c r="DG86" s="390"/>
      <c r="DH86" s="410"/>
      <c r="DI86" s="400"/>
      <c r="DJ86" s="390"/>
      <c r="DK86" s="410"/>
      <c r="DL86" s="400"/>
      <c r="DM86" s="390"/>
      <c r="DN86" s="85" t="s">
        <v>208</v>
      </c>
      <c r="DO86" s="89" t="s">
        <v>641</v>
      </c>
      <c r="DP86" s="90" t="s">
        <v>642</v>
      </c>
      <c r="DQ86" s="91" t="s">
        <v>291</v>
      </c>
      <c r="DR86" s="92">
        <v>44927</v>
      </c>
      <c r="DS86" s="734"/>
      <c r="DT86" s="328" t="s">
        <v>643</v>
      </c>
      <c r="DU86" s="328" t="s">
        <v>644</v>
      </c>
      <c r="DV86" s="508" t="s">
        <v>645</v>
      </c>
      <c r="DW86" s="508" t="s">
        <v>646</v>
      </c>
      <c r="DX86" s="508" t="s">
        <v>647</v>
      </c>
      <c r="DY86" s="328" t="s">
        <v>648</v>
      </c>
      <c r="DZ86" s="508" t="s">
        <v>649</v>
      </c>
      <c r="EA86" s="508" t="s">
        <v>650</v>
      </c>
      <c r="EB86" s="310" t="s">
        <v>651</v>
      </c>
      <c r="EC86" s="310" t="s">
        <v>742</v>
      </c>
      <c r="ED86" s="310" t="s">
        <v>772</v>
      </c>
      <c r="EE86" s="312"/>
      <c r="EF86" s="329"/>
    </row>
    <row r="87" spans="1:136" s="93" customFormat="1" ht="50.25" customHeight="1" x14ac:dyDescent="0.4">
      <c r="A87" s="633"/>
      <c r="B87" s="633"/>
      <c r="C87" s="633"/>
      <c r="D87" s="610"/>
      <c r="E87" s="436"/>
      <c r="F87" s="610"/>
      <c r="G87" s="436"/>
      <c r="H87" s="436"/>
      <c r="I87" s="436"/>
      <c r="J87" s="436"/>
      <c r="K87" s="628"/>
      <c r="L87" s="621"/>
      <c r="M87" s="621"/>
      <c r="N87" s="622"/>
      <c r="O87" s="621"/>
      <c r="P87" s="376"/>
      <c r="Q87" s="376"/>
      <c r="R87" s="376"/>
      <c r="S87" s="348"/>
      <c r="T87" s="348"/>
      <c r="U87" s="352"/>
      <c r="V87" s="358"/>
      <c r="W87" s="331"/>
      <c r="X87" s="331"/>
      <c r="Y87" s="358"/>
      <c r="Z87" s="331"/>
      <c r="AA87" s="331"/>
      <c r="AB87" s="358"/>
      <c r="AC87" s="331"/>
      <c r="AD87" s="331"/>
      <c r="AE87" s="358"/>
      <c r="AF87" s="331"/>
      <c r="AG87" s="331"/>
      <c r="AH87" s="358"/>
      <c r="AI87" s="331"/>
      <c r="AJ87" s="331"/>
      <c r="AK87" s="376"/>
      <c r="AL87" s="331"/>
      <c r="AM87" s="331"/>
      <c r="AN87" s="620"/>
      <c r="AO87" s="620"/>
      <c r="AP87" s="567"/>
      <c r="AQ87" s="567"/>
      <c r="AR87" s="619" t="s">
        <v>652</v>
      </c>
      <c r="AS87" s="348"/>
      <c r="AT87" s="81"/>
      <c r="AU87" s="570">
        <v>0.2</v>
      </c>
      <c r="AV87" s="123">
        <v>44958</v>
      </c>
      <c r="AW87" s="124">
        <v>45275</v>
      </c>
      <c r="AX87" s="29">
        <f t="shared" si="14"/>
        <v>317</v>
      </c>
      <c r="AY87" s="348"/>
      <c r="AZ87" s="348"/>
      <c r="BA87" s="358"/>
      <c r="BB87" s="342"/>
      <c r="BC87" s="331"/>
      <c r="BD87" s="358"/>
      <c r="BE87" s="342"/>
      <c r="BF87" s="331"/>
      <c r="BG87" s="358"/>
      <c r="BH87" s="342"/>
      <c r="BI87" s="331"/>
      <c r="BJ87" s="358"/>
      <c r="BK87" s="342"/>
      <c r="BL87" s="331"/>
      <c r="BM87" s="358"/>
      <c r="BN87" s="342"/>
      <c r="BO87" s="331"/>
      <c r="BP87" s="567"/>
      <c r="BQ87" s="567"/>
      <c r="BR87" s="567"/>
      <c r="BS87" s="87">
        <v>264301058</v>
      </c>
      <c r="BT87" s="88" t="s">
        <v>291</v>
      </c>
      <c r="BU87" s="567"/>
      <c r="BV87" s="567"/>
      <c r="BW87" s="578"/>
      <c r="BX87" s="578"/>
      <c r="BY87" s="606"/>
      <c r="BZ87" s="750"/>
      <c r="CA87" s="750"/>
      <c r="CB87" s="750"/>
      <c r="CC87" s="342"/>
      <c r="CD87" s="342"/>
      <c r="CE87" s="446"/>
      <c r="CF87" s="446"/>
      <c r="CG87" s="390"/>
      <c r="CH87" s="446"/>
      <c r="CI87" s="446"/>
      <c r="CJ87" s="390"/>
      <c r="CK87" s="446"/>
      <c r="CL87" s="446"/>
      <c r="CM87" s="390"/>
      <c r="CN87" s="446"/>
      <c r="CO87" s="446"/>
      <c r="CP87" s="390"/>
      <c r="CQ87" s="446"/>
      <c r="CR87" s="446"/>
      <c r="CS87" s="390"/>
      <c r="CT87" s="560"/>
      <c r="CU87" s="433"/>
      <c r="CV87" s="390"/>
      <c r="CW87" s="410"/>
      <c r="CX87" s="400"/>
      <c r="CY87" s="390"/>
      <c r="CZ87" s="464"/>
      <c r="DA87" s="464"/>
      <c r="DB87" s="464"/>
      <c r="DC87" s="390"/>
      <c r="DD87" s="390"/>
      <c r="DE87" s="410"/>
      <c r="DF87" s="400"/>
      <c r="DG87" s="390"/>
      <c r="DH87" s="410"/>
      <c r="DI87" s="400"/>
      <c r="DJ87" s="390"/>
      <c r="DK87" s="410"/>
      <c r="DL87" s="400"/>
      <c r="DM87" s="390"/>
      <c r="DN87" s="85" t="s">
        <v>208</v>
      </c>
      <c r="DO87" s="490" t="s">
        <v>653</v>
      </c>
      <c r="DP87" s="490" t="s">
        <v>654</v>
      </c>
      <c r="DQ87" s="490" t="s">
        <v>291</v>
      </c>
      <c r="DR87" s="731">
        <v>44927</v>
      </c>
      <c r="DS87" s="734"/>
      <c r="DT87" s="329"/>
      <c r="DU87" s="329"/>
      <c r="DV87" s="509"/>
      <c r="DW87" s="509"/>
      <c r="DX87" s="509"/>
      <c r="DY87" s="509"/>
      <c r="DZ87" s="509"/>
      <c r="EA87" s="509"/>
      <c r="EB87" s="312"/>
      <c r="EC87" s="312"/>
      <c r="ED87" s="312"/>
      <c r="EE87" s="312"/>
      <c r="EF87" s="329"/>
    </row>
    <row r="88" spans="1:136" s="93" customFormat="1" ht="141.75" customHeight="1" x14ac:dyDescent="0.4">
      <c r="A88" s="633"/>
      <c r="B88" s="633"/>
      <c r="C88" s="633"/>
      <c r="D88" s="610"/>
      <c r="E88" s="436"/>
      <c r="F88" s="610"/>
      <c r="G88" s="436"/>
      <c r="H88" s="436"/>
      <c r="I88" s="436"/>
      <c r="J88" s="436"/>
      <c r="K88" s="628"/>
      <c r="L88" s="621"/>
      <c r="M88" s="621"/>
      <c r="N88" s="622"/>
      <c r="O88" s="621"/>
      <c r="P88" s="376"/>
      <c r="Q88" s="376"/>
      <c r="R88" s="376"/>
      <c r="S88" s="348"/>
      <c r="T88" s="348"/>
      <c r="U88" s="352"/>
      <c r="V88" s="358"/>
      <c r="W88" s="331"/>
      <c r="X88" s="331"/>
      <c r="Y88" s="358"/>
      <c r="Z88" s="331"/>
      <c r="AA88" s="331"/>
      <c r="AB88" s="358"/>
      <c r="AC88" s="331"/>
      <c r="AD88" s="331"/>
      <c r="AE88" s="358"/>
      <c r="AF88" s="331"/>
      <c r="AG88" s="331"/>
      <c r="AH88" s="358"/>
      <c r="AI88" s="331"/>
      <c r="AJ88" s="331"/>
      <c r="AK88" s="376"/>
      <c r="AL88" s="331"/>
      <c r="AM88" s="331"/>
      <c r="AN88" s="620"/>
      <c r="AO88" s="620"/>
      <c r="AP88" s="567"/>
      <c r="AQ88" s="567"/>
      <c r="AR88" s="619"/>
      <c r="AS88" s="348"/>
      <c r="AT88" s="81"/>
      <c r="AU88" s="570"/>
      <c r="AV88" s="123">
        <v>44958</v>
      </c>
      <c r="AW88" s="124">
        <v>45275</v>
      </c>
      <c r="AX88" s="29">
        <f t="shared" si="14"/>
        <v>317</v>
      </c>
      <c r="AY88" s="348"/>
      <c r="AZ88" s="348"/>
      <c r="BA88" s="358"/>
      <c r="BB88" s="342"/>
      <c r="BC88" s="331"/>
      <c r="BD88" s="358"/>
      <c r="BE88" s="342"/>
      <c r="BF88" s="331"/>
      <c r="BG88" s="358"/>
      <c r="BH88" s="342"/>
      <c r="BI88" s="331"/>
      <c r="BJ88" s="358"/>
      <c r="BK88" s="342"/>
      <c r="BL88" s="331"/>
      <c r="BM88" s="358"/>
      <c r="BN88" s="342"/>
      <c r="BO88" s="331"/>
      <c r="BP88" s="567"/>
      <c r="BQ88" s="567"/>
      <c r="BR88" s="567"/>
      <c r="BS88" s="87">
        <v>643085573</v>
      </c>
      <c r="BT88" s="88" t="s">
        <v>205</v>
      </c>
      <c r="BU88" s="567"/>
      <c r="BV88" s="567"/>
      <c r="BW88" s="578"/>
      <c r="BX88" s="578"/>
      <c r="BY88" s="606"/>
      <c r="BZ88" s="750"/>
      <c r="CA88" s="750"/>
      <c r="CB88" s="750"/>
      <c r="CC88" s="342"/>
      <c r="CD88" s="342"/>
      <c r="CE88" s="446"/>
      <c r="CF88" s="446"/>
      <c r="CG88" s="390"/>
      <c r="CH88" s="446"/>
      <c r="CI88" s="446"/>
      <c r="CJ88" s="390"/>
      <c r="CK88" s="446"/>
      <c r="CL88" s="446"/>
      <c r="CM88" s="390"/>
      <c r="CN88" s="446"/>
      <c r="CO88" s="446"/>
      <c r="CP88" s="390"/>
      <c r="CQ88" s="446"/>
      <c r="CR88" s="446"/>
      <c r="CS88" s="390"/>
      <c r="CT88" s="560"/>
      <c r="CU88" s="433"/>
      <c r="CV88" s="390"/>
      <c r="CW88" s="410"/>
      <c r="CX88" s="400"/>
      <c r="CY88" s="390"/>
      <c r="CZ88" s="464"/>
      <c r="DA88" s="464"/>
      <c r="DB88" s="464"/>
      <c r="DC88" s="390"/>
      <c r="DD88" s="390"/>
      <c r="DE88" s="410"/>
      <c r="DF88" s="400"/>
      <c r="DG88" s="390"/>
      <c r="DH88" s="410"/>
      <c r="DI88" s="400"/>
      <c r="DJ88" s="390"/>
      <c r="DK88" s="410"/>
      <c r="DL88" s="400"/>
      <c r="DM88" s="390"/>
      <c r="DN88" s="85" t="s">
        <v>208</v>
      </c>
      <c r="DO88" s="491"/>
      <c r="DP88" s="491"/>
      <c r="DQ88" s="491"/>
      <c r="DR88" s="732"/>
      <c r="DS88" s="734"/>
      <c r="DT88" s="329"/>
      <c r="DU88" s="329"/>
      <c r="DV88" s="509"/>
      <c r="DW88" s="509"/>
      <c r="DX88" s="509"/>
      <c r="DY88" s="509"/>
      <c r="DZ88" s="509"/>
      <c r="EA88" s="509"/>
      <c r="EB88" s="312"/>
      <c r="EC88" s="312"/>
      <c r="ED88" s="312"/>
      <c r="EE88" s="312"/>
      <c r="EF88" s="329"/>
    </row>
    <row r="89" spans="1:136" s="93" customFormat="1" ht="84" customHeight="1" x14ac:dyDescent="0.4">
      <c r="A89" s="633"/>
      <c r="B89" s="633"/>
      <c r="C89" s="633"/>
      <c r="D89" s="610"/>
      <c r="E89" s="436"/>
      <c r="F89" s="610"/>
      <c r="G89" s="436"/>
      <c r="H89" s="436"/>
      <c r="I89" s="436"/>
      <c r="J89" s="436"/>
      <c r="K89" s="628"/>
      <c r="L89" s="621"/>
      <c r="M89" s="621"/>
      <c r="N89" s="622"/>
      <c r="O89" s="621"/>
      <c r="P89" s="376"/>
      <c r="Q89" s="376"/>
      <c r="R89" s="376"/>
      <c r="S89" s="348"/>
      <c r="T89" s="348"/>
      <c r="U89" s="352"/>
      <c r="V89" s="358"/>
      <c r="W89" s="331"/>
      <c r="X89" s="331"/>
      <c r="Y89" s="358"/>
      <c r="Z89" s="331"/>
      <c r="AA89" s="331"/>
      <c r="AB89" s="358"/>
      <c r="AC89" s="331"/>
      <c r="AD89" s="331"/>
      <c r="AE89" s="358"/>
      <c r="AF89" s="331"/>
      <c r="AG89" s="331"/>
      <c r="AH89" s="358"/>
      <c r="AI89" s="331"/>
      <c r="AJ89" s="331"/>
      <c r="AK89" s="376"/>
      <c r="AL89" s="331"/>
      <c r="AM89" s="331"/>
      <c r="AN89" s="620"/>
      <c r="AO89" s="620"/>
      <c r="AP89" s="567"/>
      <c r="AQ89" s="567"/>
      <c r="AR89" s="132" t="s">
        <v>655</v>
      </c>
      <c r="AS89" s="348"/>
      <c r="AT89" s="81"/>
      <c r="AU89" s="134">
        <v>0.15</v>
      </c>
      <c r="AV89" s="123">
        <v>44958</v>
      </c>
      <c r="AW89" s="124">
        <v>45275</v>
      </c>
      <c r="AX89" s="29">
        <f t="shared" si="14"/>
        <v>317</v>
      </c>
      <c r="AY89" s="348"/>
      <c r="AZ89" s="348"/>
      <c r="BA89" s="358"/>
      <c r="BB89" s="343"/>
      <c r="BC89" s="331"/>
      <c r="BD89" s="358"/>
      <c r="BE89" s="343"/>
      <c r="BF89" s="331"/>
      <c r="BG89" s="358"/>
      <c r="BH89" s="343"/>
      <c r="BI89" s="331"/>
      <c r="BJ89" s="358"/>
      <c r="BK89" s="343"/>
      <c r="BL89" s="331"/>
      <c r="BM89" s="358"/>
      <c r="BN89" s="343"/>
      <c r="BO89" s="331"/>
      <c r="BP89" s="567"/>
      <c r="BQ89" s="567"/>
      <c r="BR89" s="567"/>
      <c r="BS89" s="87">
        <v>3219466230</v>
      </c>
      <c r="BT89" s="88" t="s">
        <v>291</v>
      </c>
      <c r="BU89" s="567"/>
      <c r="BV89" s="567"/>
      <c r="BW89" s="578"/>
      <c r="BX89" s="578"/>
      <c r="BY89" s="606"/>
      <c r="BZ89" s="750"/>
      <c r="CA89" s="750"/>
      <c r="CB89" s="750"/>
      <c r="CC89" s="342"/>
      <c r="CD89" s="342"/>
      <c r="CE89" s="446"/>
      <c r="CF89" s="446"/>
      <c r="CG89" s="390"/>
      <c r="CH89" s="446"/>
      <c r="CI89" s="446"/>
      <c r="CJ89" s="390"/>
      <c r="CK89" s="446"/>
      <c r="CL89" s="446"/>
      <c r="CM89" s="390"/>
      <c r="CN89" s="446"/>
      <c r="CO89" s="446"/>
      <c r="CP89" s="390"/>
      <c r="CQ89" s="446"/>
      <c r="CR89" s="446"/>
      <c r="CS89" s="390"/>
      <c r="CT89" s="560"/>
      <c r="CU89" s="433"/>
      <c r="CV89" s="390"/>
      <c r="CW89" s="410"/>
      <c r="CX89" s="400"/>
      <c r="CY89" s="390"/>
      <c r="CZ89" s="464"/>
      <c r="DA89" s="464"/>
      <c r="DB89" s="464"/>
      <c r="DC89" s="390"/>
      <c r="DD89" s="390"/>
      <c r="DE89" s="410"/>
      <c r="DF89" s="400"/>
      <c r="DG89" s="390"/>
      <c r="DH89" s="410"/>
      <c r="DI89" s="400"/>
      <c r="DJ89" s="390"/>
      <c r="DK89" s="410"/>
      <c r="DL89" s="400"/>
      <c r="DM89" s="390"/>
      <c r="DN89" s="85" t="s">
        <v>208</v>
      </c>
      <c r="DO89" s="89" t="s">
        <v>656</v>
      </c>
      <c r="DP89" s="90" t="s">
        <v>657</v>
      </c>
      <c r="DQ89" s="91" t="s">
        <v>291</v>
      </c>
      <c r="DR89" s="92">
        <v>44927</v>
      </c>
      <c r="DS89" s="734"/>
      <c r="DT89" s="330"/>
      <c r="DU89" s="330"/>
      <c r="DV89" s="510"/>
      <c r="DW89" s="510"/>
      <c r="DX89" s="510"/>
      <c r="DY89" s="510"/>
      <c r="DZ89" s="510"/>
      <c r="EA89" s="510"/>
      <c r="EB89" s="311"/>
      <c r="EC89" s="311"/>
      <c r="ED89" s="311"/>
      <c r="EE89" s="312"/>
      <c r="EF89" s="329"/>
    </row>
    <row r="90" spans="1:136" s="93" customFormat="1" ht="409.6" customHeight="1" x14ac:dyDescent="0.4">
      <c r="A90" s="633"/>
      <c r="B90" s="633"/>
      <c r="C90" s="633"/>
      <c r="D90" s="610"/>
      <c r="E90" s="436"/>
      <c r="F90" s="610"/>
      <c r="G90" s="436"/>
      <c r="H90" s="436"/>
      <c r="I90" s="436"/>
      <c r="J90" s="436"/>
      <c r="K90" s="628"/>
      <c r="L90" s="95" t="s">
        <v>658</v>
      </c>
      <c r="M90" s="96" t="s">
        <v>189</v>
      </c>
      <c r="N90" s="81">
        <v>9</v>
      </c>
      <c r="O90" s="96" t="s">
        <v>659</v>
      </c>
      <c r="P90" s="376"/>
      <c r="Q90" s="376"/>
      <c r="R90" s="376"/>
      <c r="S90" s="81">
        <v>10</v>
      </c>
      <c r="T90" s="81">
        <v>5</v>
      </c>
      <c r="U90" s="81">
        <v>12</v>
      </c>
      <c r="V90" s="122">
        <v>5</v>
      </c>
      <c r="W90" s="36">
        <f>V90/T90</f>
        <v>1</v>
      </c>
      <c r="X90" s="36">
        <v>1</v>
      </c>
      <c r="Y90" s="122">
        <v>5</v>
      </c>
      <c r="Z90" s="36">
        <v>1</v>
      </c>
      <c r="AA90" s="36">
        <v>1</v>
      </c>
      <c r="AB90" s="122">
        <v>5</v>
      </c>
      <c r="AC90" s="36">
        <v>1</v>
      </c>
      <c r="AD90" s="36">
        <v>1</v>
      </c>
      <c r="AE90" s="122">
        <v>5</v>
      </c>
      <c r="AF90" s="36">
        <v>1</v>
      </c>
      <c r="AG90" s="36">
        <v>1</v>
      </c>
      <c r="AH90" s="122">
        <v>5</v>
      </c>
      <c r="AI90" s="36">
        <v>1</v>
      </c>
      <c r="AJ90" s="36">
        <v>1</v>
      </c>
      <c r="AK90" s="376"/>
      <c r="AL90" s="331"/>
      <c r="AM90" s="331"/>
      <c r="AN90" s="620"/>
      <c r="AO90" s="620"/>
      <c r="AP90" s="567"/>
      <c r="AQ90" s="567"/>
      <c r="AR90" s="132" t="s">
        <v>660</v>
      </c>
      <c r="AS90" s="81"/>
      <c r="AT90" s="41"/>
      <c r="AU90" s="134">
        <v>0.17</v>
      </c>
      <c r="AV90" s="123">
        <v>44958</v>
      </c>
      <c r="AW90" s="124">
        <v>45275</v>
      </c>
      <c r="AX90" s="29">
        <f t="shared" si="14"/>
        <v>317</v>
      </c>
      <c r="AY90" s="81" t="s">
        <v>238</v>
      </c>
      <c r="AZ90" s="81" t="s">
        <v>238</v>
      </c>
      <c r="BA90" s="122">
        <v>5</v>
      </c>
      <c r="BB90" s="36">
        <f>BA90/T90</f>
        <v>1</v>
      </c>
      <c r="BC90" s="331"/>
      <c r="BD90" s="122">
        <v>5</v>
      </c>
      <c r="BE90" s="36">
        <f>BD90/T90</f>
        <v>1</v>
      </c>
      <c r="BF90" s="331"/>
      <c r="BG90" s="122">
        <v>5</v>
      </c>
      <c r="BH90" s="36">
        <f>BG90/T90</f>
        <v>1</v>
      </c>
      <c r="BI90" s="331"/>
      <c r="BJ90" s="122">
        <v>5</v>
      </c>
      <c r="BK90" s="36">
        <f>BJ90/T90</f>
        <v>1</v>
      </c>
      <c r="BL90" s="331"/>
      <c r="BM90" s="122">
        <v>5</v>
      </c>
      <c r="BN90" s="36">
        <f>BM90/T90</f>
        <v>1</v>
      </c>
      <c r="BO90" s="331"/>
      <c r="BP90" s="567"/>
      <c r="BQ90" s="567"/>
      <c r="BR90" s="567"/>
      <c r="BS90" s="87">
        <v>3224840979</v>
      </c>
      <c r="BT90" s="85" t="s">
        <v>291</v>
      </c>
      <c r="BU90" s="567"/>
      <c r="BV90" s="567"/>
      <c r="BW90" s="578"/>
      <c r="BX90" s="578"/>
      <c r="BY90" s="606"/>
      <c r="BZ90" s="751"/>
      <c r="CA90" s="751"/>
      <c r="CB90" s="751"/>
      <c r="CC90" s="343"/>
      <c r="CD90" s="343"/>
      <c r="CE90" s="447"/>
      <c r="CF90" s="447"/>
      <c r="CG90" s="391"/>
      <c r="CH90" s="447"/>
      <c r="CI90" s="447"/>
      <c r="CJ90" s="391"/>
      <c r="CK90" s="447"/>
      <c r="CL90" s="447"/>
      <c r="CM90" s="391"/>
      <c r="CN90" s="447"/>
      <c r="CO90" s="447"/>
      <c r="CP90" s="391"/>
      <c r="CQ90" s="447"/>
      <c r="CR90" s="447"/>
      <c r="CS90" s="391"/>
      <c r="CT90" s="561"/>
      <c r="CU90" s="434"/>
      <c r="CV90" s="391"/>
      <c r="CW90" s="411"/>
      <c r="CX90" s="401"/>
      <c r="CY90" s="391"/>
      <c r="CZ90" s="465"/>
      <c r="DA90" s="465"/>
      <c r="DB90" s="465"/>
      <c r="DC90" s="391"/>
      <c r="DD90" s="391"/>
      <c r="DE90" s="411"/>
      <c r="DF90" s="401"/>
      <c r="DG90" s="391"/>
      <c r="DH90" s="411"/>
      <c r="DI90" s="401"/>
      <c r="DJ90" s="391"/>
      <c r="DK90" s="411"/>
      <c r="DL90" s="401"/>
      <c r="DM90" s="391"/>
      <c r="DN90" s="85" t="s">
        <v>208</v>
      </c>
      <c r="DO90" s="97" t="s">
        <v>661</v>
      </c>
      <c r="DP90" s="90" t="s">
        <v>662</v>
      </c>
      <c r="DQ90" s="91" t="s">
        <v>291</v>
      </c>
      <c r="DR90" s="92">
        <v>44927</v>
      </c>
      <c r="DS90" s="735"/>
      <c r="DT90" s="96" t="s">
        <v>663</v>
      </c>
      <c r="DU90" s="96" t="s">
        <v>663</v>
      </c>
      <c r="DV90" s="96" t="s">
        <v>664</v>
      </c>
      <c r="DW90" s="82" t="s">
        <v>665</v>
      </c>
      <c r="DX90" s="82" t="s">
        <v>666</v>
      </c>
      <c r="DY90" s="82" t="s">
        <v>667</v>
      </c>
      <c r="DZ90" s="82" t="s">
        <v>668</v>
      </c>
      <c r="EA90" s="241" t="s">
        <v>669</v>
      </c>
      <c r="EB90" s="241" t="s">
        <v>670</v>
      </c>
      <c r="EC90" s="82" t="s">
        <v>733</v>
      </c>
      <c r="ED90" s="82" t="s">
        <v>771</v>
      </c>
      <c r="EE90" s="311"/>
      <c r="EF90" s="330"/>
    </row>
    <row r="91" spans="1:136" s="100" customFormat="1" ht="115.9" customHeight="1" x14ac:dyDescent="0.5">
      <c r="A91" s="633"/>
      <c r="B91" s="633"/>
      <c r="C91" s="633"/>
      <c r="D91" s="610"/>
      <c r="E91" s="436"/>
      <c r="F91" s="610"/>
      <c r="G91" s="436"/>
      <c r="H91" s="436"/>
      <c r="I91" s="436"/>
      <c r="J91" s="436"/>
      <c r="K91" s="637" t="s">
        <v>281</v>
      </c>
      <c r="L91" s="638"/>
      <c r="M91" s="638"/>
      <c r="N91" s="638"/>
      <c r="O91" s="638"/>
      <c r="P91" s="638"/>
      <c r="Q91" s="638"/>
      <c r="R91" s="638"/>
      <c r="S91" s="638"/>
      <c r="T91" s="638"/>
      <c r="U91" s="638"/>
      <c r="V91" s="78"/>
      <c r="W91" s="78">
        <f>+AVERAGE(W81:W90)</f>
        <v>1</v>
      </c>
      <c r="X91" s="78">
        <f>+AVERAGE(X81:X90)</f>
        <v>1</v>
      </c>
      <c r="Y91" s="78"/>
      <c r="Z91" s="78">
        <f>+AVERAGE(Z81:Z90)</f>
        <v>1</v>
      </c>
      <c r="AA91" s="78">
        <f>+AVERAGE(AA81:AA90)</f>
        <v>1</v>
      </c>
      <c r="AB91" s="78"/>
      <c r="AC91" s="78">
        <f>+AVERAGE(AC81:AC90)</f>
        <v>1</v>
      </c>
      <c r="AD91" s="78">
        <f>+AVERAGE(AD81:AD90)</f>
        <v>1</v>
      </c>
      <c r="AE91" s="78"/>
      <c r="AF91" s="78">
        <f>+AVERAGE(AF81:AF90)</f>
        <v>1</v>
      </c>
      <c r="AG91" s="78">
        <f>+AVERAGE(AG81:AG90)</f>
        <v>1</v>
      </c>
      <c r="AH91" s="78"/>
      <c r="AI91" s="78">
        <f>+AVERAGE(AI81:AI90)</f>
        <v>1</v>
      </c>
      <c r="AJ91" s="78">
        <f>+AVERAGE(AJ81:AJ90)</f>
        <v>1</v>
      </c>
      <c r="AK91" s="102"/>
      <c r="AL91" s="103"/>
      <c r="AM91" s="641" t="s">
        <v>282</v>
      </c>
      <c r="AN91" s="638"/>
      <c r="AO91" s="638"/>
      <c r="AP91" s="638"/>
      <c r="AQ91" s="638"/>
      <c r="AR91" s="130"/>
      <c r="AS91" s="106"/>
      <c r="AT91" s="106"/>
      <c r="AU91" s="63"/>
      <c r="AV91" s="125"/>
      <c r="AW91" s="126"/>
      <c r="AX91" s="107"/>
      <c r="AY91" s="98"/>
      <c r="AZ91" s="98"/>
      <c r="BA91" s="78"/>
      <c r="BB91" s="78">
        <f>+AVERAGE(BB81:BB90)</f>
        <v>1</v>
      </c>
      <c r="BC91" s="78">
        <f>+AVERAGE(BC81:BC90)</f>
        <v>1</v>
      </c>
      <c r="BD91" s="78"/>
      <c r="BE91" s="78">
        <f>+AVERAGE(BE81:BE90)</f>
        <v>1</v>
      </c>
      <c r="BF91" s="78">
        <f>+AVERAGE(BF81:BF90)</f>
        <v>1</v>
      </c>
      <c r="BG91" s="78"/>
      <c r="BH91" s="78">
        <f>+AVERAGE(BH81:BH90)</f>
        <v>1</v>
      </c>
      <c r="BI91" s="78">
        <f>+AVERAGE(BI81:BI90)</f>
        <v>1</v>
      </c>
      <c r="BJ91" s="78"/>
      <c r="BK91" s="78">
        <f>+AVERAGE(BK81:BK90)</f>
        <v>1</v>
      </c>
      <c r="BL91" s="78">
        <f>+AVERAGE(BL81:BL90)</f>
        <v>1</v>
      </c>
      <c r="BM91" s="78"/>
      <c r="BN91" s="78">
        <f>+AVERAGE(BN81:BN90)</f>
        <v>1</v>
      </c>
      <c r="BO91" s="78">
        <f>+AVERAGE(BO81:BO90)</f>
        <v>1</v>
      </c>
      <c r="BP91" s="105"/>
      <c r="BQ91" s="98"/>
      <c r="BR91" s="98"/>
      <c r="BS91" s="105"/>
      <c r="BT91" s="105"/>
      <c r="BU91" s="98"/>
      <c r="BV91" s="113"/>
      <c r="BW91" s="119">
        <f t="shared" ref="BW91:BY91" si="15">BW81</f>
        <v>12008657043</v>
      </c>
      <c r="BX91" s="120">
        <f t="shared" si="15"/>
        <v>3847601843.6700001</v>
      </c>
      <c r="BY91" s="150">
        <f t="shared" si="15"/>
        <v>0.32040234223466452</v>
      </c>
      <c r="BZ91" s="143">
        <v>8320929773</v>
      </c>
      <c r="CA91" s="143">
        <v>3728239736.4000001</v>
      </c>
      <c r="CB91" s="143">
        <v>3582075050.4000001</v>
      </c>
      <c r="CC91" s="145">
        <f>CA91/BZ91</f>
        <v>0.44805566662724439</v>
      </c>
      <c r="CD91" s="145">
        <f>CB91/BZ91</f>
        <v>0.43048975873143691</v>
      </c>
      <c r="CE91" s="108">
        <v>12008657043</v>
      </c>
      <c r="CF91" s="108">
        <v>7907764085.1899996</v>
      </c>
      <c r="CG91" s="109">
        <f>CF91/CE91</f>
        <v>0.65850528138777487</v>
      </c>
      <c r="CH91" s="108">
        <v>20795460296.77</v>
      </c>
      <c r="CI91" s="108">
        <v>9532007935.4400005</v>
      </c>
      <c r="CJ91" s="109">
        <f>CI91/CH91</f>
        <v>0.45836965373257615</v>
      </c>
      <c r="CK91" s="108">
        <v>20795460296.77</v>
      </c>
      <c r="CL91" s="108">
        <v>9532007935.4400005</v>
      </c>
      <c r="CM91" s="109">
        <f>CL91/CK91</f>
        <v>0.45836965373257615</v>
      </c>
      <c r="CN91" s="108">
        <v>20795460296.77</v>
      </c>
      <c r="CO91" s="108">
        <f>CO81</f>
        <v>9865565766.4500008</v>
      </c>
      <c r="CP91" s="109">
        <f>CO91/CN91</f>
        <v>0.47440958871116423</v>
      </c>
      <c r="CQ91" s="108">
        <v>20795460296.77</v>
      </c>
      <c r="CR91" s="108">
        <f>CR81</f>
        <v>10083430014.450001</v>
      </c>
      <c r="CS91" s="109">
        <f>CO91/CN91</f>
        <v>0.47440958871116423</v>
      </c>
      <c r="CT91" s="108">
        <f>CT81</f>
        <v>20854538296.77</v>
      </c>
      <c r="CU91" s="108">
        <f>CU81</f>
        <v>11323955946.450001</v>
      </c>
      <c r="CV91" s="109">
        <f>CR91/CQ91</f>
        <v>0.48488611795797482</v>
      </c>
      <c r="CW91" s="108">
        <f>CW81</f>
        <v>20854538296.77</v>
      </c>
      <c r="CX91" s="108">
        <f>CX81</f>
        <v>15306841476.450001</v>
      </c>
      <c r="CY91" s="109">
        <f>CX91/CW91</f>
        <v>0.73398131661446375</v>
      </c>
      <c r="CZ91" s="143">
        <v>17166811026.77</v>
      </c>
      <c r="DA91" s="143">
        <v>12667339053.969999</v>
      </c>
      <c r="DB91" s="143">
        <v>12216308891.969999</v>
      </c>
      <c r="DC91" s="109">
        <f>DA91/CZ91</f>
        <v>0.73789704064525996</v>
      </c>
      <c r="DD91" s="109">
        <f>DB91/CZ91</f>
        <v>0.71162365991679144</v>
      </c>
      <c r="DE91" s="108">
        <f>DE81</f>
        <v>20854538296.77</v>
      </c>
      <c r="DF91" s="108">
        <f>DF81</f>
        <v>17160411500.450001</v>
      </c>
      <c r="DG91" s="109">
        <f>DF91/DE91</f>
        <v>0.82286221139251237</v>
      </c>
      <c r="DH91" s="108">
        <f>DH81</f>
        <v>20854538296.77</v>
      </c>
      <c r="DI91" s="108">
        <f>DI81</f>
        <v>18324991321.18</v>
      </c>
      <c r="DJ91" s="109">
        <f>DI91/DH91</f>
        <v>0.87870520365431526</v>
      </c>
      <c r="DK91" s="108">
        <f>DK81</f>
        <v>23816229834.77</v>
      </c>
      <c r="DL91" s="108">
        <f>DL81</f>
        <v>18749505236.799999</v>
      </c>
      <c r="DM91" s="109">
        <f>DL91/DK91</f>
        <v>0.78725748646526139</v>
      </c>
      <c r="DN91" s="105"/>
      <c r="DO91" s="105"/>
      <c r="DP91" s="110"/>
      <c r="DQ91" s="111"/>
      <c r="DR91" s="110"/>
      <c r="DS91" s="110"/>
      <c r="DT91" s="110"/>
      <c r="DU91" s="110"/>
      <c r="DV91" s="110"/>
      <c r="DW91" s="110"/>
      <c r="DX91" s="110"/>
      <c r="DY91" s="110"/>
      <c r="DZ91" s="110"/>
      <c r="EA91" s="110"/>
      <c r="EB91" s="110"/>
      <c r="EC91" s="110"/>
      <c r="ED91" s="110"/>
      <c r="EE91" s="110"/>
      <c r="EF91" s="110"/>
    </row>
    <row r="92" spans="1:136" s="100" customFormat="1" ht="90" customHeight="1" thickBot="1" x14ac:dyDescent="0.55000000000000004">
      <c r="A92" s="634"/>
      <c r="B92" s="634"/>
      <c r="C92" s="634"/>
      <c r="D92" s="635" t="s">
        <v>671</v>
      </c>
      <c r="E92" s="635"/>
      <c r="F92" s="635"/>
      <c r="G92" s="635"/>
      <c r="H92" s="635"/>
      <c r="I92" s="635"/>
      <c r="J92" s="635"/>
      <c r="K92" s="635"/>
      <c r="L92" s="635"/>
      <c r="M92" s="635"/>
      <c r="N92" s="635"/>
      <c r="O92" s="635"/>
      <c r="P92" s="635"/>
      <c r="Q92" s="635"/>
      <c r="R92" s="635"/>
      <c r="S92" s="635"/>
      <c r="T92" s="636"/>
      <c r="U92" s="636"/>
      <c r="V92" s="181"/>
      <c r="W92" s="181">
        <f>+AVERAGE(W91,W80,W70,W59,W46,W34,W25)</f>
        <v>0.78182845804988665</v>
      </c>
      <c r="X92" s="181">
        <f>+AVERAGE(X91,X80,X70,X59,X46,X34,X25)</f>
        <v>1.0186523809523809</v>
      </c>
      <c r="Y92" s="181"/>
      <c r="Z92" s="181">
        <f>+AVERAGE(Z91,Z80,Z70,Z59,Z46,Z34,Z25)</f>
        <v>0.81438095238095243</v>
      </c>
      <c r="AA92" s="181">
        <f>+AVERAGE(AA91,AA80,AA70,AA59,AA46,AA34,AA25)</f>
        <v>1.024968707482993</v>
      </c>
      <c r="AB92" s="181"/>
      <c r="AC92" s="181">
        <f>+AVERAGE(AC91,AC80,AC70,AC59,AC46,AC34,AC25)</f>
        <v>0.85613809523809514</v>
      </c>
      <c r="AD92" s="181">
        <f>+AVERAGE(AD91,AD80,AD70,AD59,AD46,AD34,AD25)</f>
        <v>1.0275464285714284</v>
      </c>
      <c r="AE92" s="181"/>
      <c r="AF92" s="181">
        <f>+AVERAGE(AF91,AF80,AF70,AF59,AF46,AF34,AF25)</f>
        <v>0.92821666666666669</v>
      </c>
      <c r="AG92" s="181">
        <f>+AVERAGE(AG91,AG80,AG70,AG59,AG46,AG34,AG25)</f>
        <v>1.0215833333333333</v>
      </c>
      <c r="AH92" s="181"/>
      <c r="AI92" s="181">
        <f>+AVERAGE(AI91,AI80,AI70,AI59,AI46,AI34,AI25)</f>
        <v>0.97220476190476202</v>
      </c>
      <c r="AJ92" s="181">
        <f>+AVERAGE(AJ91,AJ80,AJ70,AJ59,AJ46,AJ34,AJ25)</f>
        <v>1.0094047619047619</v>
      </c>
      <c r="AK92" s="182"/>
      <c r="AL92" s="183"/>
      <c r="AM92" s="642" t="s">
        <v>672</v>
      </c>
      <c r="AN92" s="642"/>
      <c r="AO92" s="642"/>
      <c r="AP92" s="642"/>
      <c r="AQ92" s="642"/>
      <c r="AR92" s="642"/>
      <c r="AS92" s="642"/>
      <c r="AT92" s="184"/>
      <c r="AU92" s="185"/>
      <c r="AV92" s="186"/>
      <c r="AW92" s="186"/>
      <c r="AX92" s="187"/>
      <c r="AY92" s="188"/>
      <c r="AZ92" s="188"/>
      <c r="BA92" s="181"/>
      <c r="BB92" s="189">
        <f>+AVERAGE(BB91,BB80,BB70,BB59,BB46,BB34,BB25)</f>
        <v>0.78362976190476186</v>
      </c>
      <c r="BC92" s="189">
        <f>+AVERAGE(BC91,BC80,BC70,BC59,BC46,BC34,BC25)</f>
        <v>0.78362976190476186</v>
      </c>
      <c r="BD92" s="181"/>
      <c r="BE92" s="189">
        <f>+AVERAGE(BE91,BE80,BE70,BE59,BE46,BE34,BE25)</f>
        <v>0.81438095238095243</v>
      </c>
      <c r="BF92" s="189">
        <f>+AVERAGE(BF91,BF80,BF70,BF59,BF46,BF34,BF25)</f>
        <v>0.81438095238095243</v>
      </c>
      <c r="BG92" s="181"/>
      <c r="BH92" s="189">
        <f>+AVERAGE(BH91,BH80,BH70,BH59,BH46,BH34,BH25)</f>
        <v>0.85613809523809514</v>
      </c>
      <c r="BI92" s="189">
        <f>+AVERAGE(BI91,BI80,BI70,BI59,BI46,BI34,BI25)</f>
        <v>0.85613809523809514</v>
      </c>
      <c r="BJ92" s="189"/>
      <c r="BK92" s="189">
        <f>+AVERAGE(BK91,BK80,BK70,BK59,BK46,BK34,BK25)</f>
        <v>0.92858809523809527</v>
      </c>
      <c r="BL92" s="189">
        <f>+AVERAGE(BL91,BL80,BL70,BL59,BL46,BL34,BL25)</f>
        <v>0.92858809523809527</v>
      </c>
      <c r="BM92" s="189"/>
      <c r="BN92" s="189">
        <f>+AVERAGE(BN91,BN80,BN70,BN59,BN46,BN34,BN25)</f>
        <v>0.97220476190476202</v>
      </c>
      <c r="BO92" s="189">
        <f>+AVERAGE(BO91,BO80,BO70,BO59,BO46,BO34,BO25)</f>
        <v>0.97220476190476202</v>
      </c>
      <c r="BP92" s="183"/>
      <c r="BQ92" s="183"/>
      <c r="BR92" s="188"/>
      <c r="BS92" s="206"/>
      <c r="BT92" s="151"/>
      <c r="BU92" s="183"/>
      <c r="BV92" s="190"/>
      <c r="BW92" s="191">
        <f>+(BW25+BW34+BW46+BW59+BW70+BW80+BW91)</f>
        <v>24380612019</v>
      </c>
      <c r="BX92" s="192">
        <f>+(BX91+BX80+BX70+BX59+BX46+BX34+BX25)</f>
        <v>9666790630.6700001</v>
      </c>
      <c r="BY92" s="193">
        <f>BX92/BW92</f>
        <v>0.39649499459392551</v>
      </c>
      <c r="BZ92" s="194">
        <f>(BZ25+BZ34+BZ46+BZ59+BZ70+BZ80+BZ91)</f>
        <v>20692884749</v>
      </c>
      <c r="CA92" s="195">
        <f>(CA25+CA34+CA46+CA59+CA70+CA80+CA91)</f>
        <v>9725690379.3999996</v>
      </c>
      <c r="CB92" s="194">
        <f>(CB46+CB70+CB91)</f>
        <v>4297958362.3999996</v>
      </c>
      <c r="CC92" s="196">
        <f>CA92/BZ92</f>
        <v>0.47000166952894284</v>
      </c>
      <c r="CD92" s="196">
        <f>CB92/BZ92</f>
        <v>0.20770223265307181</v>
      </c>
      <c r="CE92" s="197">
        <f>+(CE25+CE34+CE46+CE59+CE70+CE80+CE91)</f>
        <v>24380612019</v>
      </c>
      <c r="CF92" s="198">
        <f>+(CF91+CF80+CF70+CF59+CF46+CF34+CF25)</f>
        <v>13726952872.189999</v>
      </c>
      <c r="CG92" s="199">
        <f>CF92/CE92</f>
        <v>0.56302741135015311</v>
      </c>
      <c r="CH92" s="161">
        <f>+(CH25+CH34+CH46+CH59+CH70+CH80+CH91)</f>
        <v>36855057942.580002</v>
      </c>
      <c r="CI92" s="162">
        <f>+(CI91+CI80+CI70+CI59+CI46+CI34+CI25)</f>
        <v>15730049454.440001</v>
      </c>
      <c r="CJ92" s="163">
        <f>CI92/CH92</f>
        <v>0.42680843098788068</v>
      </c>
      <c r="CK92" s="161">
        <f>+(CK25+CK34+CK46+CK59+CK70+CK80+CK91)</f>
        <v>36855057942.580002</v>
      </c>
      <c r="CL92" s="162">
        <f>+(CL91+CL80+CL70+CL59+CL46+CL34+CL25)</f>
        <v>15730049454.440001</v>
      </c>
      <c r="CM92" s="163">
        <f>CL92/CK92</f>
        <v>0.42680843098788068</v>
      </c>
      <c r="CN92" s="176">
        <f>+(CN25+CN34+CN46+CN59+CN70+CN80+CN91)</f>
        <v>36855057942.580002</v>
      </c>
      <c r="CO92" s="177">
        <f>+(CO91+CO80+CO70+CO59+CO46+CO34+CO25)</f>
        <v>16334665285.450001</v>
      </c>
      <c r="CP92" s="178">
        <f>CO92/CN92</f>
        <v>0.44321366448261534</v>
      </c>
      <c r="CQ92" s="176">
        <f>+(CQ25+CQ34+CQ46+CQ59+CQ70+CQ80+CQ91)</f>
        <v>36855057942.580002</v>
      </c>
      <c r="CR92" s="177">
        <f>+(CR91+CR80+CR70+CR59+CR46+CR34+CR25)</f>
        <v>16770433620.450001</v>
      </c>
      <c r="CS92" s="178">
        <f>CO92/CN92</f>
        <v>0.44321366448261534</v>
      </c>
      <c r="CT92" s="176">
        <f>+(CT25+CT34+CT46+CT59+CT70+CT80+CT91)</f>
        <v>37590946137.400002</v>
      </c>
      <c r="CU92" s="177">
        <f>+(CU91+CU80+CU70+CU59+CU46+CU34+CU25)</f>
        <v>18711242452.450001</v>
      </c>
      <c r="CV92" s="178">
        <f>CR92/CQ92</f>
        <v>0.45503750520697195</v>
      </c>
      <c r="CW92" s="176">
        <f>+(CW25+CW34+CW46+CW59+CW70+CW80+CW91)</f>
        <v>37590946137.400002</v>
      </c>
      <c r="CX92" s="177">
        <f>+(CX91+CX80+CX70+CX59+CX46+CX34+CX25)</f>
        <v>23010091030.140003</v>
      </c>
      <c r="CY92" s="178">
        <f>CX92/CW92</f>
        <v>0.61211790057198889</v>
      </c>
      <c r="CZ92" s="270">
        <f>CZ25+CZ34+CZ46+CZ59+CZ70+CZ80+CZ91</f>
        <v>33903218867.400002</v>
      </c>
      <c r="DA92" s="270">
        <f>DA25+DA34+DA46+DA59+DA70+DA80+DA91</f>
        <v>22826802537.830002</v>
      </c>
      <c r="DB92" s="270">
        <f>DB25+DB34+DB46+DB59+DB70+DB80+DB91</f>
        <v>21909031627.23</v>
      </c>
      <c r="DC92" s="178">
        <f>DA92/CZ92</f>
        <v>0.67329307659867532</v>
      </c>
      <c r="DD92" s="178">
        <f>DB92/CZ92</f>
        <v>0.64622275875689372</v>
      </c>
      <c r="DE92" s="176">
        <f>+(DE25+DE34+DE46+DE59+DE70+DE80+DE91)</f>
        <v>37590946137.400002</v>
      </c>
      <c r="DF92" s="177">
        <f>+(DF91+DF80+DF70+DF59+DF46+DF34+DF25)</f>
        <v>28320914953.139999</v>
      </c>
      <c r="DG92" s="178">
        <f>DF92/DE92</f>
        <v>0.75339723692038019</v>
      </c>
      <c r="DH92" s="274">
        <f>+(DH25+DH34+DH46+DH59+DH70+DH80+DH91)</f>
        <v>37590946137.400002</v>
      </c>
      <c r="DI92" s="275">
        <f>+(DI91+DI80+DI70+DI59+DI46+DI34+DI25)</f>
        <v>30092481592.869999</v>
      </c>
      <c r="DJ92" s="276">
        <f>DI92/DH92</f>
        <v>0.80052471898094557</v>
      </c>
      <c r="DK92" s="274">
        <f>+(DK25+DK34+DK46+DK59+DK70+DK80+DK91)</f>
        <v>40552637675.400002</v>
      </c>
      <c r="DL92" s="275">
        <f>+(DL91+DL80+DL70+DL59+DL46+DL34+DL25)</f>
        <v>30996216931.999996</v>
      </c>
      <c r="DM92" s="276">
        <f>DL92/DK92</f>
        <v>0.76434527342232261</v>
      </c>
      <c r="DN92" s="200"/>
      <c r="DO92" s="200"/>
      <c r="DP92" s="200"/>
      <c r="DQ92" s="190"/>
      <c r="DR92" s="200"/>
      <c r="DS92" s="200"/>
      <c r="DT92" s="200"/>
      <c r="DU92" s="200"/>
      <c r="DV92" s="200"/>
      <c r="DW92" s="200"/>
      <c r="DX92" s="200"/>
      <c r="DY92" s="200"/>
      <c r="DZ92" s="200"/>
      <c r="EA92" s="200"/>
      <c r="EB92" s="200"/>
      <c r="EC92" s="200"/>
      <c r="ED92" s="200"/>
      <c r="EE92" s="200"/>
      <c r="EF92" s="200"/>
    </row>
    <row r="93" spans="1:136" s="205" customFormat="1" ht="50.25" customHeight="1" x14ac:dyDescent="0.5">
      <c r="A93" s="201"/>
      <c r="B93" s="201"/>
      <c r="C93" s="201"/>
      <c r="D93" s="202"/>
      <c r="E93" s="202"/>
      <c r="F93" s="202"/>
      <c r="G93" s="202"/>
      <c r="H93" s="202"/>
      <c r="I93" s="536"/>
      <c r="J93" s="536"/>
      <c r="K93" s="536"/>
      <c r="L93" s="536"/>
      <c r="M93" s="536"/>
      <c r="N93" s="536"/>
      <c r="O93" s="536"/>
      <c r="P93" s="536"/>
      <c r="Q93" s="536"/>
      <c r="R93" s="536"/>
      <c r="S93" s="536"/>
      <c r="T93" s="539"/>
      <c r="U93" s="539"/>
      <c r="V93" s="539"/>
      <c r="W93" s="539"/>
      <c r="X93" s="539"/>
      <c r="Y93" s="539"/>
      <c r="Z93" s="539"/>
      <c r="AA93" s="539"/>
      <c r="AB93" s="539"/>
      <c r="AC93" s="539"/>
      <c r="AD93" s="539"/>
      <c r="AE93" s="539"/>
      <c r="AF93" s="539"/>
      <c r="AG93" s="539"/>
      <c r="AH93" s="539"/>
      <c r="AI93" s="539"/>
      <c r="AJ93" s="539"/>
      <c r="AK93" s="539"/>
      <c r="AL93" s="539"/>
      <c r="AM93" s="539"/>
      <c r="AN93" s="539"/>
      <c r="AO93" s="539"/>
      <c r="AP93" s="539"/>
      <c r="AQ93" s="539"/>
      <c r="AR93" s="539"/>
      <c r="AS93" s="539"/>
      <c r="AT93" s="539"/>
      <c r="AU93" s="539"/>
      <c r="AV93" s="539"/>
      <c r="AW93" s="539"/>
      <c r="AX93" s="539"/>
      <c r="AY93" s="539"/>
      <c r="AZ93" s="539"/>
      <c r="BA93" s="539"/>
      <c r="BB93" s="539"/>
      <c r="BC93" s="539"/>
      <c r="BD93" s="539"/>
      <c r="BE93" s="539"/>
      <c r="BF93" s="539"/>
      <c r="BG93" s="539"/>
      <c r="BH93" s="539"/>
      <c r="BI93" s="539"/>
      <c r="BJ93" s="539"/>
      <c r="BK93" s="539"/>
      <c r="BL93" s="539"/>
      <c r="BM93" s="539"/>
      <c r="BN93" s="539"/>
      <c r="BO93" s="539"/>
      <c r="BP93" s="539"/>
      <c r="BQ93" s="539"/>
      <c r="BR93" s="539"/>
      <c r="BS93" s="539"/>
      <c r="BT93" s="539"/>
      <c r="BU93" s="539"/>
      <c r="BV93" s="539"/>
      <c r="BW93" s="539"/>
      <c r="BX93" s="539"/>
      <c r="BY93" s="540"/>
      <c r="BZ93" s="687" t="s">
        <v>673</v>
      </c>
      <c r="CA93" s="688"/>
      <c r="CB93" s="545"/>
      <c r="CC93" s="546"/>
      <c r="CD93" s="547"/>
      <c r="CE93" s="203"/>
      <c r="CF93" s="204"/>
      <c r="CG93" s="207"/>
      <c r="CH93" s="696" t="s">
        <v>674</v>
      </c>
      <c r="CI93" s="697"/>
      <c r="CJ93" s="698"/>
      <c r="CK93" s="696" t="s">
        <v>674</v>
      </c>
      <c r="CL93" s="697"/>
      <c r="CM93" s="698"/>
      <c r="CN93" s="696" t="s">
        <v>674</v>
      </c>
      <c r="CO93" s="697"/>
      <c r="CP93" s="719"/>
      <c r="CQ93" s="722" t="s">
        <v>675</v>
      </c>
      <c r="CR93" s="723"/>
      <c r="CS93" s="723"/>
      <c r="CT93" s="723"/>
      <c r="CU93" s="723"/>
      <c r="CV93" s="723"/>
      <c r="CW93" s="723"/>
      <c r="CX93" s="723"/>
      <c r="CY93" s="723"/>
      <c r="CZ93" s="724"/>
      <c r="DA93" s="724"/>
      <c r="DB93" s="724"/>
      <c r="DC93" s="724"/>
      <c r="DD93" s="724"/>
      <c r="DE93" s="724"/>
      <c r="DF93" s="724"/>
      <c r="DG93" s="724"/>
      <c r="DH93" s="736" t="s">
        <v>793</v>
      </c>
      <c r="DI93" s="737"/>
      <c r="DJ93" s="737"/>
      <c r="DK93" s="737"/>
      <c r="DL93" s="738"/>
      <c r="DM93" s="511"/>
      <c r="DN93" s="554"/>
      <c r="DO93" s="554"/>
      <c r="DP93" s="554"/>
      <c r="DQ93" s="554"/>
      <c r="DR93" s="554"/>
      <c r="DS93" s="554"/>
      <c r="DT93" s="554"/>
      <c r="DU93" s="554"/>
      <c r="DV93" s="554"/>
      <c r="DW93" s="554"/>
      <c r="DX93" s="554"/>
      <c r="DY93" s="554"/>
      <c r="DZ93" s="554"/>
      <c r="EA93" s="554"/>
      <c r="EB93" s="554"/>
      <c r="EC93" s="554"/>
      <c r="ED93" s="554"/>
      <c r="EE93" s="554"/>
      <c r="EF93" s="555"/>
    </row>
    <row r="94" spans="1:136" s="205" customFormat="1" ht="50.25" customHeight="1" x14ac:dyDescent="0.5">
      <c r="A94" s="201"/>
      <c r="B94" s="201"/>
      <c r="C94" s="201"/>
      <c r="D94" s="202"/>
      <c r="E94" s="202"/>
      <c r="F94" s="202"/>
      <c r="G94" s="202"/>
      <c r="H94" s="202"/>
      <c r="I94" s="537"/>
      <c r="J94" s="537"/>
      <c r="K94" s="537"/>
      <c r="L94" s="537"/>
      <c r="M94" s="537"/>
      <c r="N94" s="537"/>
      <c r="O94" s="537"/>
      <c r="P94" s="537"/>
      <c r="Q94" s="537"/>
      <c r="R94" s="537"/>
      <c r="S94" s="537"/>
      <c r="T94" s="541"/>
      <c r="U94" s="541"/>
      <c r="V94" s="541"/>
      <c r="W94" s="541"/>
      <c r="X94" s="541"/>
      <c r="Y94" s="541"/>
      <c r="Z94" s="541"/>
      <c r="AA94" s="541"/>
      <c r="AB94" s="541"/>
      <c r="AC94" s="541"/>
      <c r="AD94" s="541"/>
      <c r="AE94" s="541"/>
      <c r="AF94" s="541"/>
      <c r="AG94" s="541"/>
      <c r="AH94" s="541"/>
      <c r="AI94" s="541"/>
      <c r="AJ94" s="541"/>
      <c r="AK94" s="541"/>
      <c r="AL94" s="541"/>
      <c r="AM94" s="541"/>
      <c r="AN94" s="541"/>
      <c r="AO94" s="541"/>
      <c r="AP94" s="541"/>
      <c r="AQ94" s="541"/>
      <c r="AR94" s="541"/>
      <c r="AS94" s="541"/>
      <c r="AT94" s="541"/>
      <c r="AU94" s="541"/>
      <c r="AV94" s="541"/>
      <c r="AW94" s="541"/>
      <c r="AX94" s="541"/>
      <c r="AY94" s="541"/>
      <c r="AZ94" s="541"/>
      <c r="BA94" s="541"/>
      <c r="BB94" s="541"/>
      <c r="BC94" s="541"/>
      <c r="BD94" s="541"/>
      <c r="BE94" s="541"/>
      <c r="BF94" s="541"/>
      <c r="BG94" s="541"/>
      <c r="BH94" s="541"/>
      <c r="BI94" s="541"/>
      <c r="BJ94" s="541"/>
      <c r="BK94" s="541"/>
      <c r="BL94" s="541"/>
      <c r="BM94" s="541"/>
      <c r="BN94" s="541"/>
      <c r="BO94" s="541"/>
      <c r="BP94" s="541"/>
      <c r="BQ94" s="541"/>
      <c r="BR94" s="541"/>
      <c r="BS94" s="541"/>
      <c r="BT94" s="541"/>
      <c r="BU94" s="541"/>
      <c r="BV94" s="541"/>
      <c r="BW94" s="541"/>
      <c r="BX94" s="541"/>
      <c r="BY94" s="542"/>
      <c r="BZ94" s="689"/>
      <c r="CA94" s="690"/>
      <c r="CB94" s="548"/>
      <c r="CC94" s="549"/>
      <c r="CD94" s="550"/>
      <c r="CE94" s="203"/>
      <c r="CF94" s="204"/>
      <c r="CG94" s="207"/>
      <c r="CH94" s="699"/>
      <c r="CI94" s="700"/>
      <c r="CJ94" s="701"/>
      <c r="CK94" s="699"/>
      <c r="CL94" s="700"/>
      <c r="CM94" s="701"/>
      <c r="CN94" s="699"/>
      <c r="CO94" s="700"/>
      <c r="CP94" s="720"/>
      <c r="CQ94" s="725"/>
      <c r="CR94" s="726"/>
      <c r="CS94" s="726"/>
      <c r="CT94" s="726"/>
      <c r="CU94" s="726"/>
      <c r="CV94" s="726"/>
      <c r="CW94" s="726"/>
      <c r="CX94" s="726"/>
      <c r="CY94" s="726"/>
      <c r="CZ94" s="727"/>
      <c r="DA94" s="727"/>
      <c r="DB94" s="727"/>
      <c r="DC94" s="727"/>
      <c r="DD94" s="727"/>
      <c r="DE94" s="727"/>
      <c r="DF94" s="727"/>
      <c r="DG94" s="727"/>
      <c r="DH94" s="739"/>
      <c r="DI94" s="740"/>
      <c r="DJ94" s="740"/>
      <c r="DK94" s="740"/>
      <c r="DL94" s="741"/>
      <c r="DM94" s="512"/>
      <c r="DN94" s="556"/>
      <c r="DO94" s="556"/>
      <c r="DP94" s="556"/>
      <c r="DQ94" s="556"/>
      <c r="DR94" s="556"/>
      <c r="DS94" s="556"/>
      <c r="DT94" s="556"/>
      <c r="DU94" s="556"/>
      <c r="DV94" s="556"/>
      <c r="DW94" s="556"/>
      <c r="DX94" s="556"/>
      <c r="DY94" s="556"/>
      <c r="DZ94" s="556"/>
      <c r="EA94" s="556"/>
      <c r="EB94" s="556"/>
      <c r="EC94" s="556"/>
      <c r="ED94" s="556"/>
      <c r="EE94" s="556"/>
      <c r="EF94" s="557"/>
    </row>
    <row r="95" spans="1:136" s="205" customFormat="1" ht="50.25" customHeight="1" x14ac:dyDescent="0.5">
      <c r="A95" s="201"/>
      <c r="B95" s="201"/>
      <c r="C95" s="201"/>
      <c r="D95" s="202"/>
      <c r="E95" s="202"/>
      <c r="F95" s="202"/>
      <c r="G95" s="202"/>
      <c r="H95" s="202"/>
      <c r="I95" s="537"/>
      <c r="J95" s="537"/>
      <c r="K95" s="537"/>
      <c r="L95" s="537"/>
      <c r="M95" s="537"/>
      <c r="N95" s="537"/>
      <c r="O95" s="537"/>
      <c r="P95" s="537"/>
      <c r="Q95" s="537"/>
      <c r="R95" s="537"/>
      <c r="S95" s="537"/>
      <c r="T95" s="541"/>
      <c r="U95" s="541"/>
      <c r="V95" s="541"/>
      <c r="W95" s="541"/>
      <c r="X95" s="541"/>
      <c r="Y95" s="541"/>
      <c r="Z95" s="541"/>
      <c r="AA95" s="541"/>
      <c r="AB95" s="541"/>
      <c r="AC95" s="541"/>
      <c r="AD95" s="541"/>
      <c r="AE95" s="541"/>
      <c r="AF95" s="541"/>
      <c r="AG95" s="541"/>
      <c r="AH95" s="541"/>
      <c r="AI95" s="541"/>
      <c r="AJ95" s="541"/>
      <c r="AK95" s="541"/>
      <c r="AL95" s="541"/>
      <c r="AM95" s="541"/>
      <c r="AN95" s="541"/>
      <c r="AO95" s="541"/>
      <c r="AP95" s="541"/>
      <c r="AQ95" s="541"/>
      <c r="AR95" s="541"/>
      <c r="AS95" s="541"/>
      <c r="AT95" s="541"/>
      <c r="AU95" s="541"/>
      <c r="AV95" s="541"/>
      <c r="AW95" s="541"/>
      <c r="AX95" s="541"/>
      <c r="AY95" s="541"/>
      <c r="AZ95" s="541"/>
      <c r="BA95" s="541"/>
      <c r="BB95" s="541"/>
      <c r="BC95" s="541"/>
      <c r="BD95" s="541"/>
      <c r="BE95" s="541"/>
      <c r="BF95" s="541"/>
      <c r="BG95" s="541"/>
      <c r="BH95" s="541"/>
      <c r="BI95" s="541"/>
      <c r="BJ95" s="541"/>
      <c r="BK95" s="541"/>
      <c r="BL95" s="541"/>
      <c r="BM95" s="541"/>
      <c r="BN95" s="541"/>
      <c r="BO95" s="541"/>
      <c r="BP95" s="541"/>
      <c r="BQ95" s="541"/>
      <c r="BR95" s="541"/>
      <c r="BS95" s="541"/>
      <c r="BT95" s="541"/>
      <c r="BU95" s="541"/>
      <c r="BV95" s="541"/>
      <c r="BW95" s="541"/>
      <c r="BX95" s="541"/>
      <c r="BY95" s="542"/>
      <c r="BZ95" s="689"/>
      <c r="CA95" s="690"/>
      <c r="CB95" s="548"/>
      <c r="CC95" s="549"/>
      <c r="CD95" s="550"/>
      <c r="CE95" s="203"/>
      <c r="CF95" s="204"/>
      <c r="CG95" s="207"/>
      <c r="CH95" s="699"/>
      <c r="CI95" s="700"/>
      <c r="CJ95" s="701"/>
      <c r="CK95" s="699"/>
      <c r="CL95" s="700"/>
      <c r="CM95" s="701"/>
      <c r="CN95" s="699"/>
      <c r="CO95" s="700"/>
      <c r="CP95" s="720"/>
      <c r="CQ95" s="725"/>
      <c r="CR95" s="726"/>
      <c r="CS95" s="726"/>
      <c r="CT95" s="726"/>
      <c r="CU95" s="726"/>
      <c r="CV95" s="726"/>
      <c r="CW95" s="726"/>
      <c r="CX95" s="726"/>
      <c r="CY95" s="726"/>
      <c r="CZ95" s="727"/>
      <c r="DA95" s="727"/>
      <c r="DB95" s="727"/>
      <c r="DC95" s="727"/>
      <c r="DD95" s="727"/>
      <c r="DE95" s="727"/>
      <c r="DF95" s="727"/>
      <c r="DG95" s="727"/>
      <c r="DH95" s="739"/>
      <c r="DI95" s="740"/>
      <c r="DJ95" s="740"/>
      <c r="DK95" s="740"/>
      <c r="DL95" s="741"/>
      <c r="DM95" s="512"/>
      <c r="DN95" s="556"/>
      <c r="DO95" s="556"/>
      <c r="DP95" s="556"/>
      <c r="DQ95" s="556"/>
      <c r="DR95" s="556"/>
      <c r="DS95" s="556"/>
      <c r="DT95" s="556"/>
      <c r="DU95" s="556"/>
      <c r="DV95" s="556"/>
      <c r="DW95" s="556"/>
      <c r="DX95" s="556"/>
      <c r="DY95" s="556"/>
      <c r="DZ95" s="556"/>
      <c r="EA95" s="556"/>
      <c r="EB95" s="556"/>
      <c r="EC95" s="556"/>
      <c r="ED95" s="556"/>
      <c r="EE95" s="556"/>
      <c r="EF95" s="557"/>
    </row>
    <row r="96" spans="1:136" s="205" customFormat="1" ht="50.25" customHeight="1" x14ac:dyDescent="0.5">
      <c r="A96" s="201"/>
      <c r="B96" s="201"/>
      <c r="C96" s="201"/>
      <c r="D96" s="202"/>
      <c r="E96" s="202"/>
      <c r="F96" s="202"/>
      <c r="G96" s="202"/>
      <c r="H96" s="202"/>
      <c r="I96" s="537"/>
      <c r="J96" s="537"/>
      <c r="K96" s="537"/>
      <c r="L96" s="537"/>
      <c r="M96" s="537"/>
      <c r="N96" s="537"/>
      <c r="O96" s="537"/>
      <c r="P96" s="537"/>
      <c r="Q96" s="537"/>
      <c r="R96" s="537"/>
      <c r="S96" s="537"/>
      <c r="T96" s="541"/>
      <c r="U96" s="541"/>
      <c r="V96" s="541"/>
      <c r="W96" s="541"/>
      <c r="X96" s="541"/>
      <c r="Y96" s="541"/>
      <c r="Z96" s="541"/>
      <c r="AA96" s="541"/>
      <c r="AB96" s="541"/>
      <c r="AC96" s="541"/>
      <c r="AD96" s="541"/>
      <c r="AE96" s="541"/>
      <c r="AF96" s="541"/>
      <c r="AG96" s="541"/>
      <c r="AH96" s="541"/>
      <c r="AI96" s="541"/>
      <c r="AJ96" s="541"/>
      <c r="AK96" s="541"/>
      <c r="AL96" s="541"/>
      <c r="AM96" s="541"/>
      <c r="AN96" s="541"/>
      <c r="AO96" s="541"/>
      <c r="AP96" s="541"/>
      <c r="AQ96" s="541"/>
      <c r="AR96" s="541"/>
      <c r="AS96" s="541"/>
      <c r="AT96" s="541"/>
      <c r="AU96" s="541"/>
      <c r="AV96" s="541"/>
      <c r="AW96" s="541"/>
      <c r="AX96" s="541"/>
      <c r="AY96" s="541"/>
      <c r="AZ96" s="541"/>
      <c r="BA96" s="541"/>
      <c r="BB96" s="541"/>
      <c r="BC96" s="541"/>
      <c r="BD96" s="541"/>
      <c r="BE96" s="541"/>
      <c r="BF96" s="541"/>
      <c r="BG96" s="541"/>
      <c r="BH96" s="541"/>
      <c r="BI96" s="541"/>
      <c r="BJ96" s="541"/>
      <c r="BK96" s="541"/>
      <c r="BL96" s="541"/>
      <c r="BM96" s="541"/>
      <c r="BN96" s="541"/>
      <c r="BO96" s="541"/>
      <c r="BP96" s="541"/>
      <c r="BQ96" s="541"/>
      <c r="BR96" s="541"/>
      <c r="BS96" s="541"/>
      <c r="BT96" s="541"/>
      <c r="BU96" s="541"/>
      <c r="BV96" s="541"/>
      <c r="BW96" s="541"/>
      <c r="BX96" s="541"/>
      <c r="BY96" s="542"/>
      <c r="BZ96" s="689"/>
      <c r="CA96" s="690"/>
      <c r="CB96" s="548"/>
      <c r="CC96" s="549"/>
      <c r="CD96" s="550"/>
      <c r="CE96" s="203"/>
      <c r="CF96" s="204"/>
      <c r="CG96" s="207"/>
      <c r="CH96" s="699"/>
      <c r="CI96" s="700"/>
      <c r="CJ96" s="701"/>
      <c r="CK96" s="699"/>
      <c r="CL96" s="700"/>
      <c r="CM96" s="701"/>
      <c r="CN96" s="699"/>
      <c r="CO96" s="700"/>
      <c r="CP96" s="720"/>
      <c r="CQ96" s="725"/>
      <c r="CR96" s="726"/>
      <c r="CS96" s="726"/>
      <c r="CT96" s="726"/>
      <c r="CU96" s="726"/>
      <c r="CV96" s="726"/>
      <c r="CW96" s="726"/>
      <c r="CX96" s="726"/>
      <c r="CY96" s="726"/>
      <c r="CZ96" s="727"/>
      <c r="DA96" s="727"/>
      <c r="DB96" s="727"/>
      <c r="DC96" s="727"/>
      <c r="DD96" s="727"/>
      <c r="DE96" s="727"/>
      <c r="DF96" s="727"/>
      <c r="DG96" s="727"/>
      <c r="DH96" s="739"/>
      <c r="DI96" s="740"/>
      <c r="DJ96" s="740"/>
      <c r="DK96" s="740"/>
      <c r="DL96" s="741"/>
      <c r="DM96" s="512"/>
      <c r="DN96" s="556"/>
      <c r="DO96" s="556"/>
      <c r="DP96" s="556"/>
      <c r="DQ96" s="556"/>
      <c r="DR96" s="556"/>
      <c r="DS96" s="556"/>
      <c r="DT96" s="556"/>
      <c r="DU96" s="556"/>
      <c r="DV96" s="556"/>
      <c r="DW96" s="556"/>
      <c r="DX96" s="556"/>
      <c r="DY96" s="556"/>
      <c r="DZ96" s="556"/>
      <c r="EA96" s="556"/>
      <c r="EB96" s="556"/>
      <c r="EC96" s="556"/>
      <c r="ED96" s="556"/>
      <c r="EE96" s="556"/>
      <c r="EF96" s="557"/>
    </row>
    <row r="97" spans="1:136" s="205" customFormat="1" ht="50.25" customHeight="1" x14ac:dyDescent="0.5">
      <c r="A97" s="201"/>
      <c r="B97" s="201"/>
      <c r="C97" s="201"/>
      <c r="D97" s="202"/>
      <c r="E97" s="202"/>
      <c r="F97" s="202"/>
      <c r="G97" s="202"/>
      <c r="H97" s="202"/>
      <c r="I97" s="537"/>
      <c r="J97" s="537"/>
      <c r="K97" s="537"/>
      <c r="L97" s="537"/>
      <c r="M97" s="537"/>
      <c r="N97" s="537"/>
      <c r="O97" s="537"/>
      <c r="P97" s="537"/>
      <c r="Q97" s="537"/>
      <c r="R97" s="537"/>
      <c r="S97" s="537"/>
      <c r="T97" s="541"/>
      <c r="U97" s="541"/>
      <c r="V97" s="541"/>
      <c r="W97" s="541"/>
      <c r="X97" s="541"/>
      <c r="Y97" s="541"/>
      <c r="Z97" s="541"/>
      <c r="AA97" s="541"/>
      <c r="AB97" s="541"/>
      <c r="AC97" s="541"/>
      <c r="AD97" s="541"/>
      <c r="AE97" s="541"/>
      <c r="AF97" s="541"/>
      <c r="AG97" s="541"/>
      <c r="AH97" s="541"/>
      <c r="AI97" s="541"/>
      <c r="AJ97" s="541"/>
      <c r="AK97" s="541"/>
      <c r="AL97" s="541"/>
      <c r="AM97" s="541"/>
      <c r="AN97" s="541"/>
      <c r="AO97" s="541"/>
      <c r="AP97" s="541"/>
      <c r="AQ97" s="541"/>
      <c r="AR97" s="541"/>
      <c r="AS97" s="541"/>
      <c r="AT97" s="541"/>
      <c r="AU97" s="541"/>
      <c r="AV97" s="541"/>
      <c r="AW97" s="541"/>
      <c r="AX97" s="541"/>
      <c r="AY97" s="541"/>
      <c r="AZ97" s="541"/>
      <c r="BA97" s="541"/>
      <c r="BB97" s="541"/>
      <c r="BC97" s="541"/>
      <c r="BD97" s="541"/>
      <c r="BE97" s="541"/>
      <c r="BF97" s="541"/>
      <c r="BG97" s="541"/>
      <c r="BH97" s="541"/>
      <c r="BI97" s="541"/>
      <c r="BJ97" s="541"/>
      <c r="BK97" s="541"/>
      <c r="BL97" s="541"/>
      <c r="BM97" s="541"/>
      <c r="BN97" s="541"/>
      <c r="BO97" s="541"/>
      <c r="BP97" s="541"/>
      <c r="BQ97" s="541"/>
      <c r="BR97" s="541"/>
      <c r="BS97" s="541"/>
      <c r="BT97" s="541"/>
      <c r="BU97" s="541"/>
      <c r="BV97" s="541"/>
      <c r="BW97" s="541"/>
      <c r="BX97" s="541"/>
      <c r="BY97" s="542"/>
      <c r="BZ97" s="689"/>
      <c r="CA97" s="690"/>
      <c r="CB97" s="548"/>
      <c r="CC97" s="549"/>
      <c r="CD97" s="550"/>
      <c r="CE97" s="203"/>
      <c r="CF97" s="204"/>
      <c r="CG97" s="207"/>
      <c r="CH97" s="699"/>
      <c r="CI97" s="700"/>
      <c r="CJ97" s="701"/>
      <c r="CK97" s="699"/>
      <c r="CL97" s="700"/>
      <c r="CM97" s="701"/>
      <c r="CN97" s="699"/>
      <c r="CO97" s="700"/>
      <c r="CP97" s="720"/>
      <c r="CQ97" s="725"/>
      <c r="CR97" s="726"/>
      <c r="CS97" s="726"/>
      <c r="CT97" s="726"/>
      <c r="CU97" s="726"/>
      <c r="CV97" s="726"/>
      <c r="CW97" s="726"/>
      <c r="CX97" s="726"/>
      <c r="CY97" s="726"/>
      <c r="CZ97" s="727"/>
      <c r="DA97" s="727"/>
      <c r="DB97" s="727"/>
      <c r="DC97" s="727"/>
      <c r="DD97" s="727"/>
      <c r="DE97" s="727"/>
      <c r="DF97" s="727"/>
      <c r="DG97" s="727"/>
      <c r="DH97" s="739"/>
      <c r="DI97" s="740"/>
      <c r="DJ97" s="740"/>
      <c r="DK97" s="740"/>
      <c r="DL97" s="741"/>
      <c r="DM97" s="512"/>
      <c r="DN97" s="556"/>
      <c r="DO97" s="556"/>
      <c r="DP97" s="556"/>
      <c r="DQ97" s="556"/>
      <c r="DR97" s="556"/>
      <c r="DS97" s="556"/>
      <c r="DT97" s="556"/>
      <c r="DU97" s="556"/>
      <c r="DV97" s="556"/>
      <c r="DW97" s="556"/>
      <c r="DX97" s="556"/>
      <c r="DY97" s="556"/>
      <c r="DZ97" s="556"/>
      <c r="EA97" s="556"/>
      <c r="EB97" s="556"/>
      <c r="EC97" s="556"/>
      <c r="ED97" s="556"/>
      <c r="EE97" s="556"/>
      <c r="EF97" s="557"/>
    </row>
    <row r="98" spans="1:136" s="205" customFormat="1" ht="50.25" customHeight="1" x14ac:dyDescent="0.5">
      <c r="A98" s="201"/>
      <c r="B98" s="201"/>
      <c r="C98" s="201"/>
      <c r="D98" s="202"/>
      <c r="E98" s="202"/>
      <c r="F98" s="202"/>
      <c r="G98" s="202"/>
      <c r="H98" s="202"/>
      <c r="I98" s="537"/>
      <c r="J98" s="537"/>
      <c r="K98" s="537"/>
      <c r="L98" s="537"/>
      <c r="M98" s="537"/>
      <c r="N98" s="537"/>
      <c r="O98" s="537"/>
      <c r="P98" s="537"/>
      <c r="Q98" s="537"/>
      <c r="R98" s="537"/>
      <c r="S98" s="537"/>
      <c r="T98" s="541"/>
      <c r="U98" s="541"/>
      <c r="V98" s="541"/>
      <c r="W98" s="541"/>
      <c r="X98" s="541"/>
      <c r="Y98" s="541"/>
      <c r="Z98" s="541"/>
      <c r="AA98" s="541"/>
      <c r="AB98" s="541"/>
      <c r="AC98" s="541"/>
      <c r="AD98" s="541"/>
      <c r="AE98" s="541"/>
      <c r="AF98" s="541"/>
      <c r="AG98" s="541"/>
      <c r="AH98" s="541"/>
      <c r="AI98" s="541"/>
      <c r="AJ98" s="541"/>
      <c r="AK98" s="541"/>
      <c r="AL98" s="541"/>
      <c r="AM98" s="541"/>
      <c r="AN98" s="541"/>
      <c r="AO98" s="541"/>
      <c r="AP98" s="541"/>
      <c r="AQ98" s="541"/>
      <c r="AR98" s="541"/>
      <c r="AS98" s="541"/>
      <c r="AT98" s="541"/>
      <c r="AU98" s="541"/>
      <c r="AV98" s="541"/>
      <c r="AW98" s="541"/>
      <c r="AX98" s="541"/>
      <c r="AY98" s="541"/>
      <c r="AZ98" s="541"/>
      <c r="BA98" s="541"/>
      <c r="BB98" s="541"/>
      <c r="BC98" s="541"/>
      <c r="BD98" s="541"/>
      <c r="BE98" s="541"/>
      <c r="BF98" s="541"/>
      <c r="BG98" s="541"/>
      <c r="BH98" s="541"/>
      <c r="BI98" s="541"/>
      <c r="BJ98" s="541"/>
      <c r="BK98" s="541"/>
      <c r="BL98" s="541"/>
      <c r="BM98" s="541"/>
      <c r="BN98" s="541"/>
      <c r="BO98" s="541"/>
      <c r="BP98" s="541"/>
      <c r="BQ98" s="541"/>
      <c r="BR98" s="541"/>
      <c r="BS98" s="541"/>
      <c r="BT98" s="541"/>
      <c r="BU98" s="541"/>
      <c r="BV98" s="541"/>
      <c r="BW98" s="541"/>
      <c r="BX98" s="541"/>
      <c r="BY98" s="542"/>
      <c r="BZ98" s="689"/>
      <c r="CA98" s="690"/>
      <c r="CB98" s="548"/>
      <c r="CC98" s="549"/>
      <c r="CD98" s="550"/>
      <c r="CE98" s="203"/>
      <c r="CF98" s="204"/>
      <c r="CG98" s="207"/>
      <c r="CH98" s="699"/>
      <c r="CI98" s="700"/>
      <c r="CJ98" s="701"/>
      <c r="CK98" s="699"/>
      <c r="CL98" s="700"/>
      <c r="CM98" s="701"/>
      <c r="CN98" s="699"/>
      <c r="CO98" s="700"/>
      <c r="CP98" s="720"/>
      <c r="CQ98" s="725"/>
      <c r="CR98" s="726"/>
      <c r="CS98" s="726"/>
      <c r="CT98" s="726"/>
      <c r="CU98" s="726"/>
      <c r="CV98" s="726"/>
      <c r="CW98" s="726"/>
      <c r="CX98" s="726"/>
      <c r="CY98" s="726"/>
      <c r="CZ98" s="727"/>
      <c r="DA98" s="727"/>
      <c r="DB98" s="727"/>
      <c r="DC98" s="727"/>
      <c r="DD98" s="727"/>
      <c r="DE98" s="727"/>
      <c r="DF98" s="727"/>
      <c r="DG98" s="727"/>
      <c r="DH98" s="739"/>
      <c r="DI98" s="740"/>
      <c r="DJ98" s="740"/>
      <c r="DK98" s="740"/>
      <c r="DL98" s="741"/>
      <c r="DM98" s="512"/>
      <c r="DN98" s="556"/>
      <c r="DO98" s="556"/>
      <c r="DP98" s="556"/>
      <c r="DQ98" s="556"/>
      <c r="DR98" s="556"/>
      <c r="DS98" s="556"/>
      <c r="DT98" s="556"/>
      <c r="DU98" s="556"/>
      <c r="DV98" s="556"/>
      <c r="DW98" s="556"/>
      <c r="DX98" s="556"/>
      <c r="DY98" s="556"/>
      <c r="DZ98" s="556"/>
      <c r="EA98" s="556"/>
      <c r="EB98" s="556"/>
      <c r="EC98" s="556"/>
      <c r="ED98" s="556"/>
      <c r="EE98" s="556"/>
      <c r="EF98" s="557"/>
    </row>
    <row r="99" spans="1:136" s="205" customFormat="1" ht="50.25" customHeight="1" thickBot="1" x14ac:dyDescent="0.55000000000000004">
      <c r="A99" s="201"/>
      <c r="B99" s="201"/>
      <c r="C99" s="201"/>
      <c r="D99" s="202"/>
      <c r="E99" s="202"/>
      <c r="F99" s="202"/>
      <c r="G99" s="202"/>
      <c r="H99" s="202"/>
      <c r="I99" s="538"/>
      <c r="J99" s="538"/>
      <c r="K99" s="538"/>
      <c r="L99" s="538"/>
      <c r="M99" s="538"/>
      <c r="N99" s="538"/>
      <c r="O99" s="538"/>
      <c r="P99" s="538"/>
      <c r="Q99" s="538"/>
      <c r="R99" s="538"/>
      <c r="S99" s="538"/>
      <c r="T99" s="543"/>
      <c r="U99" s="543"/>
      <c r="V99" s="543"/>
      <c r="W99" s="543"/>
      <c r="X99" s="543"/>
      <c r="Y99" s="543"/>
      <c r="Z99" s="543"/>
      <c r="AA99" s="543"/>
      <c r="AB99" s="543"/>
      <c r="AC99" s="543"/>
      <c r="AD99" s="543"/>
      <c r="AE99" s="543"/>
      <c r="AF99" s="543"/>
      <c r="AG99" s="543"/>
      <c r="AH99" s="543"/>
      <c r="AI99" s="543"/>
      <c r="AJ99" s="543"/>
      <c r="AK99" s="543"/>
      <c r="AL99" s="543"/>
      <c r="AM99" s="543"/>
      <c r="AN99" s="543"/>
      <c r="AO99" s="543"/>
      <c r="AP99" s="543"/>
      <c r="AQ99" s="543"/>
      <c r="AR99" s="543"/>
      <c r="AS99" s="543"/>
      <c r="AT99" s="543"/>
      <c r="AU99" s="543"/>
      <c r="AV99" s="543"/>
      <c r="AW99" s="543"/>
      <c r="AX99" s="543"/>
      <c r="AY99" s="543"/>
      <c r="AZ99" s="543"/>
      <c r="BA99" s="543"/>
      <c r="BB99" s="543"/>
      <c r="BC99" s="543"/>
      <c r="BD99" s="543"/>
      <c r="BE99" s="543"/>
      <c r="BF99" s="543"/>
      <c r="BG99" s="543"/>
      <c r="BH99" s="543"/>
      <c r="BI99" s="543"/>
      <c r="BJ99" s="543"/>
      <c r="BK99" s="543"/>
      <c r="BL99" s="543"/>
      <c r="BM99" s="543"/>
      <c r="BN99" s="543"/>
      <c r="BO99" s="543"/>
      <c r="BP99" s="543"/>
      <c r="BQ99" s="543"/>
      <c r="BR99" s="543"/>
      <c r="BS99" s="543"/>
      <c r="BT99" s="543"/>
      <c r="BU99" s="543"/>
      <c r="BV99" s="543"/>
      <c r="BW99" s="543"/>
      <c r="BX99" s="543"/>
      <c r="BY99" s="544"/>
      <c r="BZ99" s="691"/>
      <c r="CA99" s="692"/>
      <c r="CB99" s="551"/>
      <c r="CC99" s="552"/>
      <c r="CD99" s="553"/>
      <c r="CE99" s="203"/>
      <c r="CF99" s="204"/>
      <c r="CG99" s="207"/>
      <c r="CH99" s="702"/>
      <c r="CI99" s="703"/>
      <c r="CJ99" s="704"/>
      <c r="CK99" s="702"/>
      <c r="CL99" s="703"/>
      <c r="CM99" s="704"/>
      <c r="CN99" s="702"/>
      <c r="CO99" s="703"/>
      <c r="CP99" s="721"/>
      <c r="CQ99" s="728"/>
      <c r="CR99" s="729"/>
      <c r="CS99" s="729"/>
      <c r="CT99" s="729"/>
      <c r="CU99" s="729"/>
      <c r="CV99" s="729"/>
      <c r="CW99" s="729"/>
      <c r="CX99" s="729"/>
      <c r="CY99" s="729"/>
      <c r="CZ99" s="730"/>
      <c r="DA99" s="730"/>
      <c r="DB99" s="730"/>
      <c r="DC99" s="730"/>
      <c r="DD99" s="730"/>
      <c r="DE99" s="730"/>
      <c r="DF99" s="730"/>
      <c r="DG99" s="730"/>
      <c r="DH99" s="742"/>
      <c r="DI99" s="743"/>
      <c r="DJ99" s="743"/>
      <c r="DK99" s="743"/>
      <c r="DL99" s="744"/>
      <c r="DM99" s="513"/>
      <c r="DN99" s="558"/>
      <c r="DO99" s="558"/>
      <c r="DP99" s="558"/>
      <c r="DQ99" s="558"/>
      <c r="DR99" s="558"/>
      <c r="DS99" s="558"/>
      <c r="DT99" s="558"/>
      <c r="DU99" s="558"/>
      <c r="DV99" s="558"/>
      <c r="DW99" s="558"/>
      <c r="DX99" s="558"/>
      <c r="DY99" s="558"/>
      <c r="DZ99" s="558"/>
      <c r="EA99" s="558"/>
      <c r="EB99" s="558"/>
      <c r="EC99" s="558"/>
      <c r="ED99" s="558"/>
      <c r="EE99" s="558"/>
      <c r="EF99" s="559"/>
    </row>
    <row r="100" spans="1:136" s="100" customFormat="1" ht="213.75" customHeight="1" x14ac:dyDescent="0.5">
      <c r="I100" s="208" t="s">
        <v>676</v>
      </c>
      <c r="J100" s="208" t="s">
        <v>676</v>
      </c>
      <c r="K100" s="209" t="s">
        <v>677</v>
      </c>
      <c r="L100" s="209" t="s">
        <v>678</v>
      </c>
      <c r="M100" s="210" t="s">
        <v>679</v>
      </c>
      <c r="N100" s="211">
        <v>14729</v>
      </c>
      <c r="O100" s="209" t="s">
        <v>680</v>
      </c>
      <c r="P100" s="210"/>
      <c r="Q100" s="209" t="s">
        <v>681</v>
      </c>
      <c r="R100" s="209" t="s">
        <v>682</v>
      </c>
      <c r="S100" s="245">
        <v>20000</v>
      </c>
      <c r="T100" s="246">
        <v>2222</v>
      </c>
      <c r="U100" s="247">
        <f>V101+V102+V103</f>
        <v>87319</v>
      </c>
      <c r="V100" s="248">
        <f>6447+1200+1419+50+2610</f>
        <v>11726</v>
      </c>
      <c r="W100" s="249">
        <f t="shared" ref="W100:W107" si="16">V100/T100</f>
        <v>5.2772277227722775</v>
      </c>
      <c r="X100" s="250">
        <f t="shared" ref="X100:X106" si="17">(U100+V100)/(6667)</f>
        <v>14.856007199640018</v>
      </c>
      <c r="Y100" s="248">
        <f>6447+1200+1419+50+2610+81+40</f>
        <v>11847</v>
      </c>
      <c r="Z100" s="249">
        <v>1</v>
      </c>
      <c r="AA100" s="250">
        <v>1</v>
      </c>
      <c r="AB100" s="248">
        <f>6447+1200+1419+50+2610+81+40</f>
        <v>11847</v>
      </c>
      <c r="AC100" s="249">
        <v>1</v>
      </c>
      <c r="AD100" s="250">
        <v>1</v>
      </c>
      <c r="AE100" s="248">
        <f>6447+1200+1419+50+2610+81+40+4+36+36+160+688+9+20+17+4+11+5+1+100+47+12+5+32+28+23+18+20+25+26+11+19+16+19+21+12+25+49+305+340+622+107</f>
        <v>14720</v>
      </c>
      <c r="AF100" s="249">
        <v>1</v>
      </c>
      <c r="AG100" s="250">
        <v>1</v>
      </c>
      <c r="AH100" s="248">
        <f>AE100+64+1784+38+310+17+12+45+13+310+50+20+21+19+12</f>
        <v>17435</v>
      </c>
      <c r="AI100" s="249">
        <v>1</v>
      </c>
      <c r="AJ100" s="250">
        <v>1</v>
      </c>
      <c r="AK100" s="212"/>
      <c r="AL100" s="213"/>
      <c r="AM100" s="214"/>
      <c r="AN100" s="215"/>
      <c r="AO100" s="215"/>
      <c r="AP100" s="216"/>
      <c r="AQ100" s="216"/>
      <c r="AR100" s="217"/>
      <c r="AS100" s="180"/>
      <c r="AT100" s="180"/>
      <c r="AU100" s="209"/>
      <c r="AV100" s="218"/>
      <c r="AW100" s="219"/>
      <c r="AX100" s="180"/>
      <c r="AY100" s="180"/>
      <c r="AZ100" s="180"/>
      <c r="BA100" s="180"/>
      <c r="BB100" s="180"/>
      <c r="BC100" s="180"/>
      <c r="BD100" s="180"/>
      <c r="BE100" s="180"/>
      <c r="BF100" s="180"/>
      <c r="BG100" s="180"/>
      <c r="BH100" s="180"/>
      <c r="BI100" s="180"/>
      <c r="BJ100" s="180"/>
      <c r="BK100" s="180"/>
      <c r="BL100" s="180"/>
      <c r="BM100" s="180"/>
      <c r="BN100" s="180"/>
      <c r="BO100" s="180"/>
      <c r="BP100" s="220"/>
      <c r="BQ100" s="220"/>
      <c r="BR100" s="220"/>
      <c r="BS100" s="220"/>
      <c r="BT100" s="220"/>
      <c r="BU100" s="220"/>
      <c r="BV100" s="220"/>
      <c r="BW100" s="220"/>
      <c r="BX100" s="220"/>
      <c r="BY100" s="220"/>
      <c r="BZ100" s="232"/>
      <c r="CA100" s="232"/>
      <c r="CB100" s="220"/>
      <c r="CC100" s="220"/>
      <c r="CD100" s="220"/>
      <c r="CE100" s="220"/>
      <c r="CF100" s="220"/>
      <c r="CG100" s="220"/>
      <c r="CH100" s="718"/>
      <c r="CI100" s="718"/>
      <c r="CJ100" s="718"/>
      <c r="CK100" s="718"/>
      <c r="CL100" s="718"/>
      <c r="CM100" s="718"/>
      <c r="CN100" s="718"/>
      <c r="CO100" s="718"/>
      <c r="CP100" s="718"/>
      <c r="CQ100" s="718"/>
      <c r="CR100" s="718"/>
      <c r="CS100" s="718"/>
      <c r="CT100" s="718"/>
      <c r="CU100" s="718"/>
      <c r="CV100" s="718"/>
      <c r="CW100" s="718"/>
      <c r="CX100" s="718"/>
      <c r="CY100" s="718"/>
      <c r="CZ100" s="268"/>
      <c r="DA100" s="268"/>
      <c r="DB100" s="268"/>
      <c r="DC100" s="268"/>
      <c r="DD100" s="268"/>
      <c r="DE100" s="268"/>
      <c r="DF100" s="268"/>
      <c r="DG100" s="268"/>
      <c r="DH100" s="217"/>
      <c r="DI100" s="217"/>
      <c r="DJ100" s="217"/>
      <c r="DK100" s="217"/>
      <c r="DL100" s="217"/>
      <c r="DM100" s="217"/>
      <c r="DN100" s="180"/>
      <c r="DO100" s="180"/>
      <c r="DP100" s="180"/>
      <c r="DQ100" s="220"/>
      <c r="DR100" s="180"/>
      <c r="DS100" s="180"/>
      <c r="DT100" s="180"/>
      <c r="DU100" s="221" t="s">
        <v>683</v>
      </c>
      <c r="DV100" s="221"/>
      <c r="DW100" s="221"/>
      <c r="DX100" s="221"/>
      <c r="DY100" s="221" t="s">
        <v>684</v>
      </c>
      <c r="DZ100" s="221" t="s">
        <v>685</v>
      </c>
      <c r="EA100" s="221" t="s">
        <v>686</v>
      </c>
      <c r="EB100" s="221" t="s">
        <v>687</v>
      </c>
      <c r="EC100" s="221" t="s">
        <v>799</v>
      </c>
      <c r="ED100" s="221" t="s">
        <v>799</v>
      </c>
      <c r="EE100" s="180"/>
      <c r="EF100" s="180"/>
    </row>
    <row r="101" spans="1:136" s="100" customFormat="1" ht="213.75" hidden="1" customHeight="1" x14ac:dyDescent="0.5">
      <c r="I101" s="208" t="s">
        <v>688</v>
      </c>
      <c r="J101" s="208" t="s">
        <v>688</v>
      </c>
      <c r="K101" s="209" t="s">
        <v>677</v>
      </c>
      <c r="L101" s="209" t="s">
        <v>678</v>
      </c>
      <c r="M101" s="210" t="s">
        <v>679</v>
      </c>
      <c r="N101" s="211">
        <v>14729</v>
      </c>
      <c r="O101" s="209" t="s">
        <v>680</v>
      </c>
      <c r="P101" s="210"/>
      <c r="Q101" s="209" t="s">
        <v>681</v>
      </c>
      <c r="R101" s="209" t="s">
        <v>682</v>
      </c>
      <c r="S101" s="245">
        <v>20000</v>
      </c>
      <c r="T101" s="246">
        <v>2222</v>
      </c>
      <c r="U101" s="247">
        <v>0</v>
      </c>
      <c r="V101" s="248">
        <v>18052</v>
      </c>
      <c r="W101" s="249">
        <f t="shared" si="16"/>
        <v>8.1242124212421238</v>
      </c>
      <c r="X101" s="250">
        <f t="shared" si="17"/>
        <v>2.7076646167691614</v>
      </c>
      <c r="Y101" s="248">
        <v>18052</v>
      </c>
      <c r="Z101" s="249">
        <f t="shared" ref="Z101:Z106" si="18">Y101/W101</f>
        <v>2222</v>
      </c>
      <c r="AA101" s="250">
        <f t="shared" ref="AA101:AA106" si="19">(X101+Y101)/(6667)</f>
        <v>2.7080707461552076</v>
      </c>
      <c r="AB101" s="248">
        <v>18052</v>
      </c>
      <c r="AC101" s="249">
        <f t="shared" ref="AC101:AC106" si="20">AB101/Z101</f>
        <v>8.1242124212421238</v>
      </c>
      <c r="AD101" s="250">
        <f t="shared" ref="AD101:AD106" si="21">(AA101+AB101)/(6667)</f>
        <v>2.7080708070715693</v>
      </c>
      <c r="AE101" s="248">
        <v>18052</v>
      </c>
      <c r="AF101" s="249">
        <f t="shared" ref="AF101:AF106" si="22">AE101/AC101</f>
        <v>2222</v>
      </c>
      <c r="AG101" s="250">
        <f t="shared" ref="AG101:AG106" si="23">(AD101+AE101)/(6667)</f>
        <v>2.7080708070807069</v>
      </c>
      <c r="AH101" s="248">
        <v>18052</v>
      </c>
      <c r="AI101" s="249">
        <f t="shared" ref="AI101:AI106" si="24">AH101/AF101</f>
        <v>8.1242124212421238</v>
      </c>
      <c r="AJ101" s="250">
        <f t="shared" ref="AJ101:AJ106" si="25">(AG101+AH101)/(6667)</f>
        <v>2.7080708070807078</v>
      </c>
      <c r="AK101" s="212"/>
      <c r="AL101" s="213"/>
      <c r="AM101" s="214"/>
      <c r="AN101" s="215"/>
      <c r="AO101" s="215"/>
      <c r="AP101" s="216"/>
      <c r="AQ101" s="216"/>
      <c r="AR101" s="217"/>
      <c r="AS101" s="180"/>
      <c r="AT101" s="180"/>
      <c r="AU101" s="209"/>
      <c r="AV101" s="218"/>
      <c r="AW101" s="219"/>
      <c r="AX101" s="180"/>
      <c r="AY101" s="180"/>
      <c r="AZ101" s="180"/>
      <c r="BA101" s="180"/>
      <c r="BB101" s="180"/>
      <c r="BC101" s="180"/>
      <c r="BD101" s="180"/>
      <c r="BE101" s="180"/>
      <c r="BF101" s="180"/>
      <c r="BG101" s="180"/>
      <c r="BH101" s="180"/>
      <c r="BI101" s="180"/>
      <c r="BJ101" s="180"/>
      <c r="BK101" s="180"/>
      <c r="BL101" s="180"/>
      <c r="BM101" s="180"/>
      <c r="BN101" s="180"/>
      <c r="BO101" s="180"/>
      <c r="BP101" s="220"/>
      <c r="BQ101" s="220"/>
      <c r="BR101" s="220"/>
      <c r="BS101" s="220"/>
      <c r="BT101" s="220"/>
      <c r="BU101" s="220"/>
      <c r="BV101" s="220"/>
      <c r="BW101" s="180"/>
      <c r="BX101" s="180"/>
      <c r="BY101" s="220"/>
      <c r="BZ101" s="220"/>
      <c r="CA101" s="220"/>
      <c r="CB101" s="220"/>
      <c r="CC101" s="220"/>
      <c r="CD101" s="220"/>
      <c r="CE101" s="220"/>
      <c r="CF101" s="220"/>
      <c r="CG101" s="220"/>
      <c r="CH101" s="717"/>
      <c r="CI101" s="717"/>
      <c r="CJ101" s="717"/>
      <c r="CK101" s="717"/>
      <c r="CL101" s="717"/>
      <c r="CM101" s="717"/>
      <c r="CN101" s="717"/>
      <c r="CO101" s="717"/>
      <c r="CP101" s="717"/>
      <c r="CQ101" s="717"/>
      <c r="CR101" s="717"/>
      <c r="CS101" s="717"/>
      <c r="CT101" s="717"/>
      <c r="CU101" s="717"/>
      <c r="CV101" s="717"/>
      <c r="CW101" s="717"/>
      <c r="CX101" s="717"/>
      <c r="CY101" s="717"/>
      <c r="CZ101" s="217"/>
      <c r="DA101" s="217"/>
      <c r="DB101" s="217"/>
      <c r="DC101" s="217"/>
      <c r="DD101" s="217"/>
      <c r="DE101" s="217"/>
      <c r="DF101" s="217"/>
      <c r="DG101" s="217"/>
      <c r="DH101" s="217"/>
      <c r="DI101" s="217"/>
      <c r="DJ101" s="217"/>
      <c r="DK101" s="217"/>
      <c r="DL101" s="217"/>
      <c r="DM101" s="217"/>
      <c r="DN101" s="180"/>
      <c r="DO101" s="180"/>
      <c r="DP101" s="180"/>
      <c r="DQ101" s="220"/>
      <c r="DR101" s="180"/>
      <c r="DS101" s="180"/>
      <c r="DT101" s="180"/>
      <c r="DU101" s="221" t="s">
        <v>683</v>
      </c>
      <c r="DV101" s="221"/>
      <c r="DW101" s="221"/>
      <c r="DX101" s="221"/>
      <c r="DY101" s="221" t="s">
        <v>689</v>
      </c>
      <c r="DZ101" s="221"/>
      <c r="EA101" s="257"/>
      <c r="EB101" s="257"/>
      <c r="EC101" s="257"/>
      <c r="ED101" s="257"/>
      <c r="EE101" s="180"/>
      <c r="EF101" s="180"/>
    </row>
    <row r="102" spans="1:136" s="100" customFormat="1" ht="213.75" hidden="1" customHeight="1" x14ac:dyDescent="0.5">
      <c r="I102" s="208" t="s">
        <v>690</v>
      </c>
      <c r="J102" s="208" t="s">
        <v>690</v>
      </c>
      <c r="K102" s="209" t="s">
        <v>677</v>
      </c>
      <c r="L102" s="209" t="s">
        <v>678</v>
      </c>
      <c r="M102" s="210" t="s">
        <v>679</v>
      </c>
      <c r="N102" s="211">
        <v>14729</v>
      </c>
      <c r="O102" s="209" t="s">
        <v>680</v>
      </c>
      <c r="P102" s="210"/>
      <c r="Q102" s="209" t="s">
        <v>681</v>
      </c>
      <c r="R102" s="209" t="s">
        <v>682</v>
      </c>
      <c r="S102" s="245">
        <v>20000</v>
      </c>
      <c r="T102" s="246">
        <v>2222</v>
      </c>
      <c r="U102" s="247">
        <v>18052</v>
      </c>
      <c r="V102" s="248">
        <v>30969</v>
      </c>
      <c r="W102" s="249">
        <f t="shared" si="16"/>
        <v>13.937443744374438</v>
      </c>
      <c r="X102" s="250">
        <f t="shared" si="17"/>
        <v>7.3527823608819558</v>
      </c>
      <c r="Y102" s="248">
        <v>30969</v>
      </c>
      <c r="Z102" s="249">
        <f t="shared" si="18"/>
        <v>2222</v>
      </c>
      <c r="AA102" s="250">
        <f t="shared" si="19"/>
        <v>4.6462206063238165</v>
      </c>
      <c r="AB102" s="248">
        <v>30969</v>
      </c>
      <c r="AC102" s="249">
        <f t="shared" si="20"/>
        <v>13.937443744374438</v>
      </c>
      <c r="AD102" s="250">
        <f t="shared" si="21"/>
        <v>4.6458146423588307</v>
      </c>
      <c r="AE102" s="248">
        <v>30969</v>
      </c>
      <c r="AF102" s="249">
        <f t="shared" si="22"/>
        <v>2222</v>
      </c>
      <c r="AG102" s="250">
        <f t="shared" si="23"/>
        <v>4.6458145814672802</v>
      </c>
      <c r="AH102" s="248">
        <v>30969</v>
      </c>
      <c r="AI102" s="249">
        <f t="shared" si="24"/>
        <v>13.937443744374438</v>
      </c>
      <c r="AJ102" s="250">
        <f t="shared" si="25"/>
        <v>4.6458145814581471</v>
      </c>
      <c r="AK102" s="212"/>
      <c r="AL102" s="213"/>
      <c r="AM102" s="214"/>
      <c r="AN102" s="215"/>
      <c r="AO102" s="215"/>
      <c r="AP102" s="216"/>
      <c r="AQ102" s="216"/>
      <c r="AR102" s="217"/>
      <c r="AS102" s="180"/>
      <c r="AT102" s="180"/>
      <c r="AU102" s="209"/>
      <c r="AV102" s="218"/>
      <c r="AW102" s="219"/>
      <c r="AX102" s="180"/>
      <c r="AY102" s="180"/>
      <c r="AZ102" s="180"/>
      <c r="BA102" s="180"/>
      <c r="BB102" s="180"/>
      <c r="BC102" s="180"/>
      <c r="BD102" s="180"/>
      <c r="BE102" s="180"/>
      <c r="BF102" s="180"/>
      <c r="BG102" s="180"/>
      <c r="BH102" s="180"/>
      <c r="BI102" s="180"/>
      <c r="BJ102" s="180"/>
      <c r="BK102" s="180"/>
      <c r="BL102" s="180"/>
      <c r="BM102" s="180"/>
      <c r="BN102" s="180"/>
      <c r="BO102" s="180"/>
      <c r="BP102" s="220"/>
      <c r="BQ102" s="220"/>
      <c r="BR102" s="220"/>
      <c r="BS102" s="220"/>
      <c r="BT102" s="220"/>
      <c r="BU102" s="220"/>
      <c r="BV102" s="220"/>
      <c r="BW102" s="180"/>
      <c r="BX102" s="180"/>
      <c r="BY102" s="220"/>
      <c r="BZ102" s="220"/>
      <c r="CA102" s="220"/>
      <c r="CB102" s="220"/>
      <c r="CC102" s="220"/>
      <c r="CD102" s="220"/>
      <c r="CE102" s="220"/>
      <c r="CF102" s="220"/>
      <c r="CG102" s="220"/>
      <c r="CH102" s="717"/>
      <c r="CI102" s="717"/>
      <c r="CJ102" s="717"/>
      <c r="CK102" s="717"/>
      <c r="CL102" s="717"/>
      <c r="CM102" s="717"/>
      <c r="CN102" s="717"/>
      <c r="CO102" s="717"/>
      <c r="CP102" s="717"/>
      <c r="CQ102" s="717"/>
      <c r="CR102" s="717"/>
      <c r="CS102" s="717"/>
      <c r="CT102" s="717"/>
      <c r="CU102" s="717"/>
      <c r="CV102" s="717"/>
      <c r="CW102" s="717"/>
      <c r="CX102" s="717"/>
      <c r="CY102" s="717"/>
      <c r="CZ102" s="217"/>
      <c r="DA102" s="217"/>
      <c r="DB102" s="217"/>
      <c r="DC102" s="217"/>
      <c r="DD102" s="217"/>
      <c r="DE102" s="217"/>
      <c r="DF102" s="217"/>
      <c r="DG102" s="217"/>
      <c r="DH102" s="217"/>
      <c r="DI102" s="217"/>
      <c r="DJ102" s="217"/>
      <c r="DK102" s="217"/>
      <c r="DL102" s="217"/>
      <c r="DM102" s="217"/>
      <c r="DN102" s="180"/>
      <c r="DO102" s="180"/>
      <c r="DP102" s="180"/>
      <c r="DQ102" s="220"/>
      <c r="DR102" s="180"/>
      <c r="DS102" s="180"/>
      <c r="DT102" s="180"/>
      <c r="DU102" s="221" t="s">
        <v>683</v>
      </c>
      <c r="DV102" s="221"/>
      <c r="DW102" s="221"/>
      <c r="DX102" s="221"/>
      <c r="DY102" s="221" t="s">
        <v>691</v>
      </c>
      <c r="DZ102" s="221"/>
      <c r="EA102" s="257"/>
      <c r="EB102" s="257"/>
      <c r="EC102" s="257"/>
      <c r="ED102" s="257"/>
      <c r="EE102" s="180"/>
      <c r="EF102" s="180"/>
    </row>
    <row r="103" spans="1:136" s="100" customFormat="1" ht="213.75" hidden="1" customHeight="1" x14ac:dyDescent="0.5">
      <c r="I103" s="208" t="s">
        <v>692</v>
      </c>
      <c r="J103" s="208" t="s">
        <v>692</v>
      </c>
      <c r="K103" s="209" t="s">
        <v>677</v>
      </c>
      <c r="L103" s="209" t="s">
        <v>678</v>
      </c>
      <c r="M103" s="210" t="s">
        <v>679</v>
      </c>
      <c r="N103" s="211">
        <v>14729</v>
      </c>
      <c r="O103" s="209" t="s">
        <v>680</v>
      </c>
      <c r="P103" s="210"/>
      <c r="Q103" s="209" t="s">
        <v>681</v>
      </c>
      <c r="R103" s="209" t="s">
        <v>682</v>
      </c>
      <c r="S103" s="245">
        <v>20000</v>
      </c>
      <c r="T103" s="246">
        <v>2222</v>
      </c>
      <c r="U103" s="247">
        <f>U102+V102</f>
        <v>49021</v>
      </c>
      <c r="V103" s="248">
        <v>38298</v>
      </c>
      <c r="W103" s="249">
        <f t="shared" si="16"/>
        <v>17.235823582358236</v>
      </c>
      <c r="X103" s="250">
        <f t="shared" si="17"/>
        <v>13.097195140242988</v>
      </c>
      <c r="Y103" s="248">
        <v>38298</v>
      </c>
      <c r="Z103" s="249">
        <f t="shared" si="18"/>
        <v>2222</v>
      </c>
      <c r="AA103" s="250">
        <f t="shared" si="19"/>
        <v>5.7463772604080168</v>
      </c>
      <c r="AB103" s="248">
        <v>38298</v>
      </c>
      <c r="AC103" s="249">
        <f t="shared" si="20"/>
        <v>17.235823582358236</v>
      </c>
      <c r="AD103" s="250">
        <f t="shared" si="21"/>
        <v>5.7452746928544185</v>
      </c>
      <c r="AE103" s="248">
        <v>38298</v>
      </c>
      <c r="AF103" s="249">
        <f t="shared" si="22"/>
        <v>2222</v>
      </c>
      <c r="AG103" s="250">
        <f t="shared" si="23"/>
        <v>5.7452745274775543</v>
      </c>
      <c r="AH103" s="248">
        <v>38298</v>
      </c>
      <c r="AI103" s="249">
        <f t="shared" si="24"/>
        <v>17.235823582358236</v>
      </c>
      <c r="AJ103" s="250">
        <f t="shared" si="25"/>
        <v>5.7452745274527492</v>
      </c>
      <c r="AK103" s="212"/>
      <c r="AL103" s="213"/>
      <c r="AM103" s="214"/>
      <c r="AN103" s="215"/>
      <c r="AO103" s="215"/>
      <c r="AP103" s="216"/>
      <c r="AQ103" s="216"/>
      <c r="AR103" s="217"/>
      <c r="AS103" s="180"/>
      <c r="AT103" s="180"/>
      <c r="AU103" s="209"/>
      <c r="AV103" s="218"/>
      <c r="AW103" s="219"/>
      <c r="AX103" s="180"/>
      <c r="AY103" s="180"/>
      <c r="AZ103" s="180"/>
      <c r="BA103" s="180"/>
      <c r="BB103" s="180"/>
      <c r="BC103" s="180"/>
      <c r="BD103" s="180"/>
      <c r="BE103" s="180"/>
      <c r="BF103" s="180"/>
      <c r="BG103" s="180"/>
      <c r="BH103" s="180"/>
      <c r="BI103" s="180"/>
      <c r="BJ103" s="180"/>
      <c r="BK103" s="180"/>
      <c r="BL103" s="180"/>
      <c r="BM103" s="180"/>
      <c r="BN103" s="180"/>
      <c r="BO103" s="180"/>
      <c r="BP103" s="220"/>
      <c r="BQ103" s="220"/>
      <c r="BR103" s="220"/>
      <c r="BS103" s="220"/>
      <c r="BT103" s="220"/>
      <c r="BU103" s="220"/>
      <c r="BV103" s="220"/>
      <c r="BW103" s="180"/>
      <c r="BX103" s="180"/>
      <c r="BY103" s="220"/>
      <c r="BZ103" s="220"/>
      <c r="CA103" s="220"/>
      <c r="CB103" s="220"/>
      <c r="CC103" s="220"/>
      <c r="CD103" s="220"/>
      <c r="CE103" s="220"/>
      <c r="CF103" s="220"/>
      <c r="CG103" s="220"/>
      <c r="CH103" s="717"/>
      <c r="CI103" s="717"/>
      <c r="CJ103" s="717"/>
      <c r="CK103" s="717"/>
      <c r="CL103" s="717"/>
      <c r="CM103" s="717"/>
      <c r="CN103" s="717"/>
      <c r="CO103" s="717"/>
      <c r="CP103" s="717"/>
      <c r="CQ103" s="717"/>
      <c r="CR103" s="717"/>
      <c r="CS103" s="717"/>
      <c r="CT103" s="717"/>
      <c r="CU103" s="717"/>
      <c r="CV103" s="717"/>
      <c r="CW103" s="717"/>
      <c r="CX103" s="717"/>
      <c r="CY103" s="717"/>
      <c r="CZ103" s="217"/>
      <c r="DA103" s="217"/>
      <c r="DB103" s="217"/>
      <c r="DC103" s="217"/>
      <c r="DD103" s="217"/>
      <c r="DE103" s="217"/>
      <c r="DF103" s="217"/>
      <c r="DG103" s="217"/>
      <c r="DH103" s="217"/>
      <c r="DI103" s="217"/>
      <c r="DJ103" s="217"/>
      <c r="DK103" s="217"/>
      <c r="DL103" s="217"/>
      <c r="DM103" s="217"/>
      <c r="DN103" s="180"/>
      <c r="DO103" s="180"/>
      <c r="DP103" s="180"/>
      <c r="DQ103" s="220"/>
      <c r="DR103" s="180"/>
      <c r="DS103" s="180"/>
      <c r="DT103" s="180"/>
      <c r="DU103" s="221" t="s">
        <v>683</v>
      </c>
      <c r="DV103" s="221"/>
      <c r="DW103" s="221"/>
      <c r="DX103" s="221"/>
      <c r="DY103" s="221" t="s">
        <v>693</v>
      </c>
      <c r="DZ103" s="221"/>
      <c r="EA103" s="257"/>
      <c r="EB103" s="257"/>
      <c r="EC103" s="257"/>
      <c r="ED103" s="257"/>
      <c r="EE103" s="180"/>
      <c r="EF103" s="180"/>
    </row>
    <row r="104" spans="1:136" s="100" customFormat="1" ht="213.75" hidden="1" customHeight="1" x14ac:dyDescent="0.5">
      <c r="I104" s="222" t="s">
        <v>688</v>
      </c>
      <c r="J104" s="222" t="s">
        <v>688</v>
      </c>
      <c r="K104" s="112" t="s">
        <v>694</v>
      </c>
      <c r="L104" s="112" t="s">
        <v>695</v>
      </c>
      <c r="M104" s="223" t="s">
        <v>679</v>
      </c>
      <c r="N104" s="234">
        <v>0</v>
      </c>
      <c r="O104" s="112" t="s">
        <v>696</v>
      </c>
      <c r="P104" s="223"/>
      <c r="Q104" s="112" t="s">
        <v>697</v>
      </c>
      <c r="R104" s="112" t="s">
        <v>682</v>
      </c>
      <c r="S104" s="251">
        <v>1</v>
      </c>
      <c r="T104" s="252">
        <v>1</v>
      </c>
      <c r="U104" s="253">
        <v>0</v>
      </c>
      <c r="V104" s="254">
        <v>2</v>
      </c>
      <c r="W104" s="255">
        <f t="shared" si="16"/>
        <v>2</v>
      </c>
      <c r="X104" s="256">
        <f t="shared" si="17"/>
        <v>2.9998500074996249E-4</v>
      </c>
      <c r="Y104" s="254">
        <v>2</v>
      </c>
      <c r="Z104" s="255">
        <f t="shared" si="18"/>
        <v>1</v>
      </c>
      <c r="AA104" s="256">
        <f t="shared" si="19"/>
        <v>3.0002999625029997E-4</v>
      </c>
      <c r="AB104" s="254">
        <v>2</v>
      </c>
      <c r="AC104" s="255">
        <f t="shared" si="20"/>
        <v>2</v>
      </c>
      <c r="AD104" s="256">
        <f t="shared" si="21"/>
        <v>3.0003000299928757E-4</v>
      </c>
      <c r="AE104" s="254">
        <v>2</v>
      </c>
      <c r="AF104" s="255">
        <f t="shared" si="22"/>
        <v>1</v>
      </c>
      <c r="AG104" s="256">
        <f t="shared" si="23"/>
        <v>3.0003000300029989E-4</v>
      </c>
      <c r="AH104" s="254">
        <v>2</v>
      </c>
      <c r="AI104" s="255">
        <f t="shared" si="24"/>
        <v>2</v>
      </c>
      <c r="AJ104" s="256">
        <f t="shared" si="25"/>
        <v>3.000300030003E-4</v>
      </c>
      <c r="AK104" s="224"/>
      <c r="AL104" s="121"/>
      <c r="AM104" s="225"/>
      <c r="AN104" s="226"/>
      <c r="AO104" s="226"/>
      <c r="AP104" s="227"/>
      <c r="AQ104" s="227"/>
      <c r="AR104" s="228"/>
      <c r="AS104" s="110"/>
      <c r="AT104" s="110"/>
      <c r="AU104" s="112"/>
      <c r="AV104" s="229"/>
      <c r="AW104" s="230"/>
      <c r="AX104" s="110"/>
      <c r="AY104" s="110"/>
      <c r="AZ104" s="110"/>
      <c r="BA104" s="110"/>
      <c r="BB104" s="110"/>
      <c r="BC104" s="110"/>
      <c r="BD104" s="110"/>
      <c r="BE104" s="110"/>
      <c r="BF104" s="110"/>
      <c r="BG104" s="110"/>
      <c r="BH104" s="110"/>
      <c r="BI104" s="110"/>
      <c r="BJ104" s="110"/>
      <c r="BK104" s="110"/>
      <c r="BL104" s="110"/>
      <c r="BM104" s="110"/>
      <c r="BN104" s="110"/>
      <c r="BO104" s="110"/>
      <c r="BP104" s="111"/>
      <c r="BQ104" s="111"/>
      <c r="BR104" s="111"/>
      <c r="BS104" s="111"/>
      <c r="BT104" s="111"/>
      <c r="BU104" s="111"/>
      <c r="BV104" s="111"/>
      <c r="BW104" s="110"/>
      <c r="BX104" s="110"/>
      <c r="BY104" s="111"/>
      <c r="BZ104" s="111"/>
      <c r="CA104" s="111"/>
      <c r="CB104" s="111"/>
      <c r="CC104" s="111"/>
      <c r="CD104" s="111"/>
      <c r="CE104" s="111"/>
      <c r="CF104" s="111"/>
      <c r="CG104" s="111"/>
      <c r="CH104" s="454"/>
      <c r="CI104" s="454"/>
      <c r="CJ104" s="454"/>
      <c r="CK104" s="454"/>
      <c r="CL104" s="454"/>
      <c r="CM104" s="454"/>
      <c r="CN104" s="454"/>
      <c r="CO104" s="454"/>
      <c r="CP104" s="454"/>
      <c r="CQ104" s="454"/>
      <c r="CR104" s="454"/>
      <c r="CS104" s="454"/>
      <c r="CT104" s="454"/>
      <c r="CU104" s="454"/>
      <c r="CV104" s="454"/>
      <c r="CW104" s="454"/>
      <c r="CX104" s="454"/>
      <c r="CY104" s="454"/>
      <c r="CZ104" s="228"/>
      <c r="DA104" s="228"/>
      <c r="DB104" s="228"/>
      <c r="DC104" s="228"/>
      <c r="DD104" s="228"/>
      <c r="DE104" s="228"/>
      <c r="DF104" s="228"/>
      <c r="DG104" s="228"/>
      <c r="DH104" s="228"/>
      <c r="DI104" s="228"/>
      <c r="DJ104" s="228"/>
      <c r="DK104" s="228"/>
      <c r="DL104" s="228"/>
      <c r="DM104" s="228"/>
      <c r="DN104" s="110"/>
      <c r="DO104" s="110"/>
      <c r="DP104" s="110"/>
      <c r="DQ104" s="111"/>
      <c r="DR104" s="110"/>
      <c r="DS104" s="110"/>
      <c r="DT104" s="110"/>
      <c r="DU104" s="231" t="s">
        <v>683</v>
      </c>
      <c r="DV104" s="231"/>
      <c r="DW104" s="231"/>
      <c r="DX104" s="231"/>
      <c r="DY104" s="231" t="s">
        <v>698</v>
      </c>
      <c r="DZ104" s="231"/>
      <c r="EA104" s="257"/>
      <c r="EB104" s="257"/>
      <c r="EC104" s="257"/>
      <c r="ED104" s="257"/>
      <c r="EE104" s="110"/>
      <c r="EF104" s="110"/>
    </row>
    <row r="105" spans="1:136" s="100" customFormat="1" ht="213.75" hidden="1" customHeight="1" x14ac:dyDescent="0.5">
      <c r="I105" s="222" t="s">
        <v>690</v>
      </c>
      <c r="J105" s="222" t="s">
        <v>690</v>
      </c>
      <c r="K105" s="112" t="s">
        <v>694</v>
      </c>
      <c r="L105" s="112" t="s">
        <v>695</v>
      </c>
      <c r="M105" s="223" t="s">
        <v>679</v>
      </c>
      <c r="N105" s="234">
        <v>0</v>
      </c>
      <c r="O105" s="112" t="s">
        <v>696</v>
      </c>
      <c r="P105" s="223"/>
      <c r="Q105" s="112" t="s">
        <v>697</v>
      </c>
      <c r="R105" s="112" t="s">
        <v>682</v>
      </c>
      <c r="S105" s="251">
        <v>1</v>
      </c>
      <c r="T105" s="252">
        <v>1</v>
      </c>
      <c r="U105" s="253">
        <v>2</v>
      </c>
      <c r="V105" s="254">
        <v>5</v>
      </c>
      <c r="W105" s="255">
        <f t="shared" si="16"/>
        <v>5</v>
      </c>
      <c r="X105" s="256">
        <f t="shared" si="17"/>
        <v>1.0499475026248687E-3</v>
      </c>
      <c r="Y105" s="254">
        <v>5</v>
      </c>
      <c r="Z105" s="255">
        <f t="shared" si="18"/>
        <v>1</v>
      </c>
      <c r="AA105" s="256">
        <f t="shared" si="19"/>
        <v>7.5011998612608741E-4</v>
      </c>
      <c r="AB105" s="254">
        <v>5</v>
      </c>
      <c r="AC105" s="255">
        <f t="shared" si="20"/>
        <v>5</v>
      </c>
      <c r="AD105" s="256">
        <f t="shared" si="21"/>
        <v>7.500750142472065E-4</v>
      </c>
      <c r="AE105" s="254">
        <v>5</v>
      </c>
      <c r="AF105" s="255">
        <f t="shared" si="22"/>
        <v>1</v>
      </c>
      <c r="AG105" s="256">
        <f t="shared" si="23"/>
        <v>7.5007500750176202E-4</v>
      </c>
      <c r="AH105" s="254">
        <v>5</v>
      </c>
      <c r="AI105" s="255">
        <f t="shared" si="24"/>
        <v>5</v>
      </c>
      <c r="AJ105" s="256">
        <f t="shared" si="25"/>
        <v>7.5007500750075024E-4</v>
      </c>
      <c r="AK105" s="224"/>
      <c r="AL105" s="121"/>
      <c r="AM105" s="225"/>
      <c r="AN105" s="226"/>
      <c r="AO105" s="226"/>
      <c r="AP105" s="227"/>
      <c r="AQ105" s="227"/>
      <c r="AR105" s="228"/>
      <c r="AS105" s="110"/>
      <c r="AT105" s="110"/>
      <c r="AU105" s="112"/>
      <c r="AV105" s="229"/>
      <c r="AW105" s="230"/>
      <c r="AX105" s="110"/>
      <c r="AY105" s="110"/>
      <c r="AZ105" s="110"/>
      <c r="BA105" s="110"/>
      <c r="BB105" s="110"/>
      <c r="BC105" s="110"/>
      <c r="BD105" s="110"/>
      <c r="BE105" s="110"/>
      <c r="BF105" s="110"/>
      <c r="BG105" s="110"/>
      <c r="BH105" s="110"/>
      <c r="BI105" s="110"/>
      <c r="BJ105" s="110"/>
      <c r="BK105" s="110"/>
      <c r="BL105" s="110"/>
      <c r="BM105" s="110"/>
      <c r="BN105" s="110"/>
      <c r="BO105" s="110"/>
      <c r="BP105" s="111"/>
      <c r="BQ105" s="111"/>
      <c r="BR105" s="111"/>
      <c r="BS105" s="111"/>
      <c r="BT105" s="111"/>
      <c r="BU105" s="111"/>
      <c r="BV105" s="111"/>
      <c r="BW105" s="110"/>
      <c r="BX105" s="110"/>
      <c r="BY105" s="111"/>
      <c r="BZ105" s="111"/>
      <c r="CA105" s="111"/>
      <c r="CB105" s="111"/>
      <c r="CC105" s="111"/>
      <c r="CD105" s="111"/>
      <c r="CE105" s="111"/>
      <c r="CF105" s="111"/>
      <c r="CG105" s="111"/>
      <c r="CH105" s="454"/>
      <c r="CI105" s="454"/>
      <c r="CJ105" s="454"/>
      <c r="CK105" s="454"/>
      <c r="CL105" s="454"/>
      <c r="CM105" s="454"/>
      <c r="CN105" s="454"/>
      <c r="CO105" s="454"/>
      <c r="CP105" s="454"/>
      <c r="CQ105" s="454"/>
      <c r="CR105" s="454"/>
      <c r="CS105" s="454"/>
      <c r="CT105" s="454"/>
      <c r="CU105" s="454"/>
      <c r="CV105" s="454"/>
      <c r="CW105" s="454"/>
      <c r="CX105" s="454"/>
      <c r="CY105" s="454"/>
      <c r="CZ105" s="228"/>
      <c r="DA105" s="228"/>
      <c r="DB105" s="228"/>
      <c r="DC105" s="228"/>
      <c r="DD105" s="228"/>
      <c r="DE105" s="228"/>
      <c r="DF105" s="228"/>
      <c r="DG105" s="228"/>
      <c r="DH105" s="228"/>
      <c r="DI105" s="228"/>
      <c r="DJ105" s="228"/>
      <c r="DK105" s="228"/>
      <c r="DL105" s="228"/>
      <c r="DM105" s="228"/>
      <c r="DN105" s="110"/>
      <c r="DO105" s="110"/>
      <c r="DP105" s="110"/>
      <c r="DQ105" s="111"/>
      <c r="DR105" s="110"/>
      <c r="DS105" s="110"/>
      <c r="DT105" s="110"/>
      <c r="DU105" s="231" t="s">
        <v>683</v>
      </c>
      <c r="DV105" s="231"/>
      <c r="DW105" s="231"/>
      <c r="DX105" s="231"/>
      <c r="DY105" s="231" t="s">
        <v>699</v>
      </c>
      <c r="DZ105" s="231"/>
      <c r="EA105" s="257"/>
      <c r="EB105" s="257"/>
      <c r="EC105" s="257"/>
      <c r="ED105" s="257"/>
      <c r="EE105" s="110"/>
      <c r="EF105" s="110"/>
    </row>
    <row r="106" spans="1:136" s="100" customFormat="1" ht="213.75" hidden="1" customHeight="1" x14ac:dyDescent="0.5">
      <c r="I106" s="222" t="s">
        <v>692</v>
      </c>
      <c r="J106" s="222" t="s">
        <v>692</v>
      </c>
      <c r="K106" s="112" t="s">
        <v>694</v>
      </c>
      <c r="L106" s="112" t="s">
        <v>695</v>
      </c>
      <c r="M106" s="223" t="s">
        <v>679</v>
      </c>
      <c r="N106" s="234">
        <v>0</v>
      </c>
      <c r="O106" s="112" t="s">
        <v>696</v>
      </c>
      <c r="P106" s="223"/>
      <c r="Q106" s="112" t="s">
        <v>697</v>
      </c>
      <c r="R106" s="112" t="s">
        <v>682</v>
      </c>
      <c r="S106" s="251">
        <v>1</v>
      </c>
      <c r="T106" s="252">
        <v>1</v>
      </c>
      <c r="U106" s="253">
        <v>5</v>
      </c>
      <c r="V106" s="254">
        <v>5</v>
      </c>
      <c r="W106" s="255">
        <f t="shared" si="16"/>
        <v>5</v>
      </c>
      <c r="X106" s="256">
        <f t="shared" si="17"/>
        <v>1.4999250037498126E-3</v>
      </c>
      <c r="Y106" s="254">
        <v>5</v>
      </c>
      <c r="Z106" s="255">
        <f t="shared" si="18"/>
        <v>1</v>
      </c>
      <c r="AA106" s="256">
        <f t="shared" si="19"/>
        <v>7.5018747937659368E-4</v>
      </c>
      <c r="AB106" s="254">
        <v>5</v>
      </c>
      <c r="AC106" s="255">
        <f t="shared" si="20"/>
        <v>5</v>
      </c>
      <c r="AD106" s="256">
        <f t="shared" si="21"/>
        <v>7.5007502437068798E-4</v>
      </c>
      <c r="AE106" s="254">
        <v>5</v>
      </c>
      <c r="AF106" s="255">
        <f t="shared" si="22"/>
        <v>1</v>
      </c>
      <c r="AG106" s="256">
        <f t="shared" si="23"/>
        <v>7.5007500750328044E-4</v>
      </c>
      <c r="AH106" s="254">
        <v>5</v>
      </c>
      <c r="AI106" s="255">
        <f t="shared" si="24"/>
        <v>5</v>
      </c>
      <c r="AJ106" s="256">
        <f t="shared" si="25"/>
        <v>7.5007500750075046E-4</v>
      </c>
      <c r="AK106" s="224"/>
      <c r="AL106" s="121"/>
      <c r="AM106" s="225"/>
      <c r="AN106" s="226"/>
      <c r="AO106" s="226"/>
      <c r="AP106" s="227"/>
      <c r="AQ106" s="227"/>
      <c r="AR106" s="228"/>
      <c r="AS106" s="110"/>
      <c r="AT106" s="110"/>
      <c r="AU106" s="112"/>
      <c r="AV106" s="229"/>
      <c r="AW106" s="230"/>
      <c r="AX106" s="110"/>
      <c r="AY106" s="110"/>
      <c r="AZ106" s="110"/>
      <c r="BA106" s="110"/>
      <c r="BB106" s="110"/>
      <c r="BC106" s="110"/>
      <c r="BD106" s="110"/>
      <c r="BE106" s="110"/>
      <c r="BF106" s="110"/>
      <c r="BG106" s="110"/>
      <c r="BH106" s="110"/>
      <c r="BI106" s="110"/>
      <c r="BJ106" s="110"/>
      <c r="BK106" s="110"/>
      <c r="BL106" s="110"/>
      <c r="BM106" s="110"/>
      <c r="BN106" s="110"/>
      <c r="BO106" s="110"/>
      <c r="BP106" s="111"/>
      <c r="BQ106" s="111"/>
      <c r="BR106" s="111"/>
      <c r="BS106" s="111"/>
      <c r="BT106" s="111"/>
      <c r="BU106" s="111"/>
      <c r="BV106" s="111"/>
      <c r="BW106" s="110"/>
      <c r="BX106" s="110"/>
      <c r="BY106" s="111"/>
      <c r="BZ106" s="111"/>
      <c r="CA106" s="111"/>
      <c r="CB106" s="111"/>
      <c r="CC106" s="111"/>
      <c r="CD106" s="111"/>
      <c r="CE106" s="111"/>
      <c r="CF106" s="111"/>
      <c r="CG106" s="111"/>
      <c r="CH106" s="454"/>
      <c r="CI106" s="454"/>
      <c r="CJ106" s="454"/>
      <c r="CK106" s="454"/>
      <c r="CL106" s="454"/>
      <c r="CM106" s="454"/>
      <c r="CN106" s="454"/>
      <c r="CO106" s="454"/>
      <c r="CP106" s="454"/>
      <c r="CQ106" s="454"/>
      <c r="CR106" s="454"/>
      <c r="CS106" s="454"/>
      <c r="CT106" s="454"/>
      <c r="CU106" s="454"/>
      <c r="CV106" s="454"/>
      <c r="CW106" s="454"/>
      <c r="CX106" s="454"/>
      <c r="CY106" s="454"/>
      <c r="CZ106" s="228"/>
      <c r="DA106" s="228"/>
      <c r="DB106" s="228"/>
      <c r="DC106" s="228"/>
      <c r="DD106" s="228"/>
      <c r="DE106" s="228"/>
      <c r="DF106" s="228"/>
      <c r="DG106" s="228"/>
      <c r="DH106" s="228"/>
      <c r="DI106" s="228"/>
      <c r="DJ106" s="228"/>
      <c r="DK106" s="228"/>
      <c r="DL106" s="228"/>
      <c r="DM106" s="228"/>
      <c r="DN106" s="110"/>
      <c r="DO106" s="110"/>
      <c r="DP106" s="110"/>
      <c r="DQ106" s="111"/>
      <c r="DR106" s="110"/>
      <c r="DS106" s="110"/>
      <c r="DT106" s="110"/>
      <c r="DU106" s="231" t="s">
        <v>683</v>
      </c>
      <c r="DV106" s="231"/>
      <c r="DW106" s="231"/>
      <c r="DX106" s="231"/>
      <c r="DY106" s="231" t="s">
        <v>700</v>
      </c>
      <c r="DZ106" s="231"/>
      <c r="EA106" s="257"/>
      <c r="EB106" s="257"/>
      <c r="EC106" s="257"/>
      <c r="ED106" s="257"/>
      <c r="EE106" s="110"/>
      <c r="EF106" s="110"/>
    </row>
    <row r="107" spans="1:136" s="100" customFormat="1" ht="213.75" customHeight="1" x14ac:dyDescent="0.5">
      <c r="I107" s="222" t="s">
        <v>676</v>
      </c>
      <c r="J107" s="222" t="s">
        <v>676</v>
      </c>
      <c r="K107" s="112" t="s">
        <v>694</v>
      </c>
      <c r="L107" s="112" t="s">
        <v>695</v>
      </c>
      <c r="M107" s="223" t="s">
        <v>679</v>
      </c>
      <c r="N107" s="234">
        <v>0</v>
      </c>
      <c r="O107" s="112" t="s">
        <v>696</v>
      </c>
      <c r="P107" s="223"/>
      <c r="Q107" s="112" t="s">
        <v>697</v>
      </c>
      <c r="R107" s="112" t="s">
        <v>682</v>
      </c>
      <c r="S107" s="251">
        <v>1</v>
      </c>
      <c r="T107" s="252">
        <v>1</v>
      </c>
      <c r="U107" s="253">
        <v>5</v>
      </c>
      <c r="V107" s="254">
        <v>2</v>
      </c>
      <c r="W107" s="255">
        <f t="shared" si="16"/>
        <v>2</v>
      </c>
      <c r="X107" s="256">
        <f>(U107+V107)/S107</f>
        <v>7</v>
      </c>
      <c r="Y107" s="254">
        <v>3</v>
      </c>
      <c r="Z107" s="255">
        <v>1</v>
      </c>
      <c r="AA107" s="256">
        <v>1</v>
      </c>
      <c r="AB107" s="254">
        <v>3</v>
      </c>
      <c r="AC107" s="255">
        <v>1</v>
      </c>
      <c r="AD107" s="256">
        <v>1</v>
      </c>
      <c r="AE107" s="254">
        <v>3</v>
      </c>
      <c r="AF107" s="255">
        <v>1</v>
      </c>
      <c r="AG107" s="256">
        <v>1</v>
      </c>
      <c r="AH107" s="254">
        <f>3+1</f>
        <v>4</v>
      </c>
      <c r="AI107" s="255">
        <v>1</v>
      </c>
      <c r="AJ107" s="256">
        <v>1</v>
      </c>
      <c r="AK107" s="224"/>
      <c r="AL107" s="121"/>
      <c r="AM107" s="225"/>
      <c r="AN107" s="226"/>
      <c r="AO107" s="226"/>
      <c r="AP107" s="227"/>
      <c r="AQ107" s="227"/>
      <c r="AR107" s="228"/>
      <c r="AS107" s="110"/>
      <c r="AT107" s="110"/>
      <c r="AU107" s="112"/>
      <c r="AV107" s="229"/>
      <c r="AW107" s="230"/>
      <c r="AX107" s="110"/>
      <c r="AY107" s="110"/>
      <c r="AZ107" s="110"/>
      <c r="BA107" s="110"/>
      <c r="BB107" s="110"/>
      <c r="BC107" s="110"/>
      <c r="BD107" s="110"/>
      <c r="BE107" s="110"/>
      <c r="BF107" s="110"/>
      <c r="BG107" s="110"/>
      <c r="BH107" s="110"/>
      <c r="BI107" s="110"/>
      <c r="BJ107" s="110"/>
      <c r="BK107" s="110"/>
      <c r="BL107" s="110"/>
      <c r="BM107" s="110"/>
      <c r="BN107" s="110"/>
      <c r="BO107" s="110"/>
      <c r="BP107" s="111"/>
      <c r="BQ107" s="111"/>
      <c r="BR107" s="111"/>
      <c r="BS107" s="111"/>
      <c r="BT107" s="111"/>
      <c r="BU107" s="111"/>
      <c r="BV107" s="111"/>
      <c r="BW107" s="110"/>
      <c r="BX107" s="110"/>
      <c r="BY107" s="111"/>
      <c r="BZ107" s="111"/>
      <c r="CA107" s="111"/>
      <c r="CB107" s="111"/>
      <c r="CC107" s="111"/>
      <c r="CD107" s="111"/>
      <c r="CE107" s="111"/>
      <c r="CF107" s="111"/>
      <c r="CG107" s="111"/>
      <c r="CH107" s="454"/>
      <c r="CI107" s="454"/>
      <c r="CJ107" s="454"/>
      <c r="CK107" s="454"/>
      <c r="CL107" s="454"/>
      <c r="CM107" s="454"/>
      <c r="CN107" s="454"/>
      <c r="CO107" s="454"/>
      <c r="CP107" s="454"/>
      <c r="CQ107" s="454"/>
      <c r="CR107" s="454"/>
      <c r="CS107" s="454"/>
      <c r="CT107" s="454"/>
      <c r="CU107" s="454"/>
      <c r="CV107" s="454"/>
      <c r="CW107" s="454"/>
      <c r="CX107" s="454"/>
      <c r="CY107" s="454"/>
      <c r="CZ107" s="228"/>
      <c r="DA107" s="228"/>
      <c r="DB107" s="228"/>
      <c r="DC107" s="228"/>
      <c r="DD107" s="228"/>
      <c r="DE107" s="228"/>
      <c r="DF107" s="228"/>
      <c r="DG107" s="228"/>
      <c r="DH107" s="228"/>
      <c r="DI107" s="228"/>
      <c r="DJ107" s="228"/>
      <c r="DK107" s="228"/>
      <c r="DL107" s="228"/>
      <c r="DM107" s="228"/>
      <c r="DN107" s="110"/>
      <c r="DO107" s="110"/>
      <c r="DP107" s="110"/>
      <c r="DQ107" s="111"/>
      <c r="DR107" s="110"/>
      <c r="DS107" s="110"/>
      <c r="DT107" s="110"/>
      <c r="DU107" s="231" t="s">
        <v>683</v>
      </c>
      <c r="DV107" s="231"/>
      <c r="DW107" s="231"/>
      <c r="DX107" s="231"/>
      <c r="DY107" s="231" t="s">
        <v>701</v>
      </c>
      <c r="DZ107" s="231" t="s">
        <v>702</v>
      </c>
      <c r="EA107" s="231" t="s">
        <v>703</v>
      </c>
      <c r="EB107" s="231" t="s">
        <v>704</v>
      </c>
      <c r="EC107" s="231" t="s">
        <v>758</v>
      </c>
      <c r="ED107" s="231" t="s">
        <v>797</v>
      </c>
      <c r="EE107" s="110"/>
      <c r="EF107" s="110"/>
    </row>
    <row r="108" spans="1:136" s="100" customFormat="1" ht="213.75" customHeight="1" x14ac:dyDescent="0.5">
      <c r="I108" s="259" t="s">
        <v>676</v>
      </c>
      <c r="J108" s="259" t="s">
        <v>676</v>
      </c>
      <c r="K108" s="260" t="s">
        <v>705</v>
      </c>
      <c r="L108" s="260" t="s">
        <v>695</v>
      </c>
      <c r="M108" s="261" t="s">
        <v>679</v>
      </c>
      <c r="N108" s="262">
        <v>0</v>
      </c>
      <c r="O108" s="260" t="s">
        <v>706</v>
      </c>
      <c r="P108" s="261"/>
      <c r="Q108" s="260" t="s">
        <v>697</v>
      </c>
      <c r="R108" s="260">
        <v>1</v>
      </c>
      <c r="S108" s="273">
        <v>4</v>
      </c>
      <c r="T108" s="263">
        <v>1</v>
      </c>
      <c r="U108" s="269">
        <v>0</v>
      </c>
      <c r="V108" s="254"/>
      <c r="W108" s="255"/>
      <c r="X108" s="256"/>
      <c r="Y108" s="254">
        <v>1</v>
      </c>
      <c r="Z108" s="255">
        <f>Y108/T108</f>
        <v>1</v>
      </c>
      <c r="AA108" s="256">
        <f>(Y108+U108)/(S108)</f>
        <v>0.25</v>
      </c>
      <c r="AB108" s="254">
        <f>1+6</f>
        <v>7</v>
      </c>
      <c r="AC108" s="255">
        <v>1</v>
      </c>
      <c r="AD108" s="256">
        <v>1</v>
      </c>
      <c r="AE108" s="254">
        <f>AB108+1</f>
        <v>8</v>
      </c>
      <c r="AF108" s="255">
        <v>1</v>
      </c>
      <c r="AG108" s="256">
        <v>1</v>
      </c>
      <c r="AH108" s="254">
        <f>AE108</f>
        <v>8</v>
      </c>
      <c r="AI108" s="255">
        <v>1</v>
      </c>
      <c r="AJ108" s="256">
        <v>1</v>
      </c>
      <c r="AK108" s="224"/>
      <c r="AL108" s="121"/>
      <c r="AM108" s="225"/>
      <c r="AN108" s="226"/>
      <c r="AO108" s="226"/>
      <c r="AP108" s="227"/>
      <c r="AQ108" s="227"/>
      <c r="AR108" s="228"/>
      <c r="AS108" s="110"/>
      <c r="AT108" s="110"/>
      <c r="AU108" s="112"/>
      <c r="AV108" s="229"/>
      <c r="AW108" s="230"/>
      <c r="AX108" s="110"/>
      <c r="AY108" s="110"/>
      <c r="AZ108" s="110"/>
      <c r="BA108" s="110"/>
      <c r="BB108" s="110"/>
      <c r="BC108" s="110"/>
      <c r="BD108" s="110"/>
      <c r="BE108" s="110"/>
      <c r="BF108" s="110"/>
      <c r="BG108" s="110"/>
      <c r="BH108" s="110"/>
      <c r="BI108" s="110"/>
      <c r="BJ108" s="110"/>
      <c r="BK108" s="110"/>
      <c r="BL108" s="110"/>
      <c r="BM108" s="110"/>
      <c r="BN108" s="110"/>
      <c r="BO108" s="110"/>
      <c r="BP108" s="111"/>
      <c r="BQ108" s="111"/>
      <c r="BR108" s="111"/>
      <c r="BS108" s="111"/>
      <c r="BT108" s="111"/>
      <c r="BU108" s="111"/>
      <c r="BV108" s="111"/>
      <c r="BW108" s="110"/>
      <c r="BX108" s="110"/>
      <c r="BY108" s="111"/>
      <c r="BZ108" s="111"/>
      <c r="CA108" s="111"/>
      <c r="CB108" s="111"/>
      <c r="CC108" s="111"/>
      <c r="CD108" s="111"/>
      <c r="CE108" s="111"/>
      <c r="CF108" s="111"/>
      <c r="CG108" s="111"/>
      <c r="CH108" s="454"/>
      <c r="CI108" s="454"/>
      <c r="CJ108" s="454"/>
      <c r="CK108" s="454"/>
      <c r="CL108" s="454"/>
      <c r="CM108" s="454"/>
      <c r="CN108" s="454"/>
      <c r="CO108" s="454"/>
      <c r="CP108" s="454"/>
      <c r="CQ108" s="454"/>
      <c r="CR108" s="454"/>
      <c r="CS108" s="454"/>
      <c r="CT108" s="454"/>
      <c r="CU108" s="454"/>
      <c r="CV108" s="454"/>
      <c r="CW108" s="454"/>
      <c r="CX108" s="454"/>
      <c r="CY108" s="454"/>
      <c r="CZ108" s="228"/>
      <c r="DA108" s="228"/>
      <c r="DB108" s="228"/>
      <c r="DC108" s="228"/>
      <c r="DD108" s="228"/>
      <c r="DE108" s="228"/>
      <c r="DF108" s="228"/>
      <c r="DG108" s="228"/>
      <c r="DH108" s="228"/>
      <c r="DI108" s="228"/>
      <c r="DJ108" s="228"/>
      <c r="DK108" s="228"/>
      <c r="DL108" s="228"/>
      <c r="DM108" s="228"/>
      <c r="DN108" s="110"/>
      <c r="DO108" s="110"/>
      <c r="DP108" s="110"/>
      <c r="DQ108" s="111"/>
      <c r="DR108" s="110"/>
      <c r="DS108" s="110"/>
      <c r="DT108" s="110"/>
      <c r="DU108" s="231" t="s">
        <v>683</v>
      </c>
      <c r="DV108" s="231"/>
      <c r="DW108" s="231"/>
      <c r="DX108" s="231"/>
      <c r="DY108" s="231" t="s">
        <v>701</v>
      </c>
      <c r="DZ108" s="231" t="s">
        <v>702</v>
      </c>
      <c r="EA108" s="231" t="s">
        <v>707</v>
      </c>
      <c r="EB108" s="231" t="s">
        <v>759</v>
      </c>
      <c r="EC108" s="231" t="s">
        <v>760</v>
      </c>
      <c r="ED108" s="231" t="s">
        <v>798</v>
      </c>
      <c r="EE108" s="110"/>
      <c r="EF108" s="110"/>
    </row>
    <row r="110" spans="1:136" ht="279" customHeight="1" x14ac:dyDescent="0.4"/>
    <row r="111" spans="1:136" ht="50.25" customHeight="1" x14ac:dyDescent="0.5">
      <c r="EE111" s="100"/>
      <c r="EF111" s="271"/>
    </row>
    <row r="112" spans="1:136" ht="50.25" customHeight="1" x14ac:dyDescent="0.4">
      <c r="EF112" s="271"/>
    </row>
    <row r="113" spans="136:136" ht="50.25" customHeight="1" x14ac:dyDescent="0.4">
      <c r="EF113" s="271"/>
    </row>
    <row r="114" spans="136:136" ht="50.25" customHeight="1" x14ac:dyDescent="0.4">
      <c r="EF114" s="271"/>
    </row>
    <row r="115" spans="136:136" ht="50.25" customHeight="1" x14ac:dyDescent="0.4">
      <c r="EF115" s="271">
        <f>SUM(EF111:EF114)</f>
        <v>0</v>
      </c>
    </row>
    <row r="116" spans="136:136" ht="50.25" customHeight="1" x14ac:dyDescent="0.4">
      <c r="EF116" s="27">
        <f>SUM(EF111:EF115)</f>
        <v>0</v>
      </c>
    </row>
  </sheetData>
  <mergeCells count="1578">
    <mergeCell ref="J7:J8"/>
    <mergeCell ref="J9:J46"/>
    <mergeCell ref="J47:J70"/>
    <mergeCell ref="J71:J80"/>
    <mergeCell ref="J81:J91"/>
    <mergeCell ref="AL9:AL18"/>
    <mergeCell ref="AK19:AK24"/>
    <mergeCell ref="AL19:AL24"/>
    <mergeCell ref="AN19:AN24"/>
    <mergeCell ref="AN9:AN18"/>
    <mergeCell ref="AN26:AN33"/>
    <mergeCell ref="AL26:AL33"/>
    <mergeCell ref="Z54:Z56"/>
    <mergeCell ref="AA54:AA56"/>
    <mergeCell ref="Z57:Z58"/>
    <mergeCell ref="AA57:AA58"/>
    <mergeCell ref="CK9:CK18"/>
    <mergeCell ref="CL9:CL18"/>
    <mergeCell ref="CM9:CM18"/>
    <mergeCell ref="DA19:DA24"/>
    <mergeCell ref="CK19:CK24"/>
    <mergeCell ref="BW9:BW18"/>
    <mergeCell ref="BX9:BX18"/>
    <mergeCell ref="BY9:BY18"/>
    <mergeCell ref="BW19:BW24"/>
    <mergeCell ref="CZ9:CZ18"/>
    <mergeCell ref="DA9:DA18"/>
    <mergeCell ref="BA57:BA58"/>
    <mergeCell ref="BB26:BB29"/>
    <mergeCell ref="BP26:BP33"/>
    <mergeCell ref="AY35:AY45"/>
    <mergeCell ref="BB54:BB56"/>
    <mergeCell ref="BB57:BB58"/>
    <mergeCell ref="CX47:CX58"/>
    <mergeCell ref="BQ26:BQ33"/>
    <mergeCell ref="BR26:BR33"/>
    <mergeCell ref="BQ47:BQ58"/>
    <mergeCell ref="CB71:CB79"/>
    <mergeCell ref="CC71:CC79"/>
    <mergeCell ref="CB35:CB45"/>
    <mergeCell ref="CC35:CC45"/>
    <mergeCell ref="AZ81:AZ82"/>
    <mergeCell ref="BW60:BW69"/>
    <mergeCell ref="BX60:BX69"/>
    <mergeCell ref="BY60:BY69"/>
    <mergeCell ref="BW71:BW79"/>
    <mergeCell ref="BW47:BW58"/>
    <mergeCell ref="CA19:CA24"/>
    <mergeCell ref="BX71:BX79"/>
    <mergeCell ref="BY71:BY79"/>
    <mergeCell ref="BW35:BW45"/>
    <mergeCell ref="BX19:BX24"/>
    <mergeCell ref="BY19:BY24"/>
    <mergeCell ref="BC81:BC90"/>
    <mergeCell ref="BA83:BA85"/>
    <mergeCell ref="BZ81:BZ90"/>
    <mergeCell ref="CA81:CA90"/>
    <mergeCell ref="CB81:CB90"/>
    <mergeCell ref="CC81:CC90"/>
    <mergeCell ref="BQ19:BQ24"/>
    <mergeCell ref="BR19:BR24"/>
    <mergeCell ref="BP19:BP24"/>
    <mergeCell ref="BB31:BB32"/>
    <mergeCell ref="BP35:BP45"/>
    <mergeCell ref="BQ35:BQ45"/>
    <mergeCell ref="BU47:BU58"/>
    <mergeCell ref="BB35:BB42"/>
    <mergeCell ref="BB43:BB45"/>
    <mergeCell ref="BB47:BB53"/>
    <mergeCell ref="Y57:Y58"/>
    <mergeCell ref="Y60:Y66"/>
    <mergeCell ref="Y68:Y69"/>
    <mergeCell ref="Y72:Y75"/>
    <mergeCell ref="Y81:Y82"/>
    <mergeCell ref="Y83:Y85"/>
    <mergeCell ref="Y86:Y89"/>
    <mergeCell ref="Z86:Z89"/>
    <mergeCell ref="AA86:AA89"/>
    <mergeCell ref="CN47:CN58"/>
    <mergeCell ref="CM60:CM69"/>
    <mergeCell ref="CK71:CK79"/>
    <mergeCell ref="BA17:BA18"/>
    <mergeCell ref="AZ19:AZ24"/>
    <mergeCell ref="AZ31:AZ32"/>
    <mergeCell ref="CW19:CW24"/>
    <mergeCell ref="Z17:Z18"/>
    <mergeCell ref="AA17:AA18"/>
    <mergeCell ref="Z19:Z24"/>
    <mergeCell ref="AA19:AA24"/>
    <mergeCell ref="Z26:Z29"/>
    <mergeCell ref="AA26:AA29"/>
    <mergeCell ref="Z31:Z32"/>
    <mergeCell ref="AA31:AA32"/>
    <mergeCell ref="Z35:Z42"/>
    <mergeCell ref="AA35:AA42"/>
    <mergeCell ref="Z43:Z45"/>
    <mergeCell ref="AA43:AA45"/>
    <mergeCell ref="Z47:Z53"/>
    <mergeCell ref="AA47:AA53"/>
    <mergeCell ref="CA71:CA79"/>
    <mergeCell ref="Z68:Z69"/>
    <mergeCell ref="DY86:DY89"/>
    <mergeCell ref="DY9:DY16"/>
    <mergeCell ref="DY17:DY18"/>
    <mergeCell ref="DY19:DY24"/>
    <mergeCell ref="DY26:DY29"/>
    <mergeCell ref="DY31:DY32"/>
    <mergeCell ref="DY35:DY42"/>
    <mergeCell ref="DY43:DY45"/>
    <mergeCell ref="DY47:DY53"/>
    <mergeCell ref="DZ9:DZ16"/>
    <mergeCell ref="DZ17:DZ18"/>
    <mergeCell ref="DZ19:DZ24"/>
    <mergeCell ref="DZ26:DZ29"/>
    <mergeCell ref="DZ31:DZ32"/>
    <mergeCell ref="DZ35:DZ42"/>
    <mergeCell ref="DZ43:DZ45"/>
    <mergeCell ref="DZ47:DZ53"/>
    <mergeCell ref="DZ54:DZ56"/>
    <mergeCell ref="DY60:DY66"/>
    <mergeCell ref="DY68:DY69"/>
    <mergeCell ref="DZ57:DZ58"/>
    <mergeCell ref="DZ72:DZ75"/>
    <mergeCell ref="DZ86:DZ89"/>
    <mergeCell ref="DY83:DY85"/>
    <mergeCell ref="CN101:CP101"/>
    <mergeCell ref="CN102:CP102"/>
    <mergeCell ref="CN103:CP103"/>
    <mergeCell ref="DR87:DR88"/>
    <mergeCell ref="DO87:DO88"/>
    <mergeCell ref="DU83:DU85"/>
    <mergeCell ref="CX81:CX90"/>
    <mergeCell ref="CW81:CW90"/>
    <mergeCell ref="CW47:CW58"/>
    <mergeCell ref="DS81:DS90"/>
    <mergeCell ref="DS71:DS79"/>
    <mergeCell ref="DQ87:DQ88"/>
    <mergeCell ref="DC71:DC79"/>
    <mergeCell ref="CZ81:CZ90"/>
    <mergeCell ref="DA81:DA90"/>
    <mergeCell ref="DU86:DU89"/>
    <mergeCell ref="CQ47:CQ58"/>
    <mergeCell ref="CY71:CY79"/>
    <mergeCell ref="CO47:CO58"/>
    <mergeCell ref="CP47:CP58"/>
    <mergeCell ref="DH93:DL99"/>
    <mergeCell ref="DM93:DM99"/>
    <mergeCell ref="CQ105:CY105"/>
    <mergeCell ref="CH106:CJ106"/>
    <mergeCell ref="CQ106:CY106"/>
    <mergeCell ref="CH107:CJ107"/>
    <mergeCell ref="CQ107:CY107"/>
    <mergeCell ref="CH101:CJ101"/>
    <mergeCell ref="CQ101:CY101"/>
    <mergeCell ref="CH102:CJ102"/>
    <mergeCell ref="CQ102:CY102"/>
    <mergeCell ref="CH103:CJ103"/>
    <mergeCell ref="CQ103:CY103"/>
    <mergeCell ref="CN107:CP107"/>
    <mergeCell ref="CK107:CM107"/>
    <mergeCell ref="CN105:CP105"/>
    <mergeCell ref="CN106:CP106"/>
    <mergeCell ref="CH100:CJ100"/>
    <mergeCell ref="CK93:CM99"/>
    <mergeCell ref="CK100:CM100"/>
    <mergeCell ref="CK101:CM101"/>
    <mergeCell ref="CK102:CM102"/>
    <mergeCell ref="CK103:CM103"/>
    <mergeCell ref="CK104:CM104"/>
    <mergeCell ref="CQ104:CY104"/>
    <mergeCell ref="CK105:CM105"/>
    <mergeCell ref="CK106:CM106"/>
    <mergeCell ref="CH104:CJ104"/>
    <mergeCell ref="CH105:CJ105"/>
    <mergeCell ref="CQ100:CY100"/>
    <mergeCell ref="CN93:CP99"/>
    <mergeCell ref="CN100:CP100"/>
    <mergeCell ref="CQ93:DG99"/>
    <mergeCell ref="CN104:CP104"/>
    <mergeCell ref="BZ93:CA99"/>
    <mergeCell ref="CH35:CH45"/>
    <mergeCell ref="CI35:CI45"/>
    <mergeCell ref="CJ35:CJ45"/>
    <mergeCell ref="CH47:CH58"/>
    <mergeCell ref="CI47:CI58"/>
    <mergeCell ref="CJ47:CJ58"/>
    <mergeCell ref="CH60:CH69"/>
    <mergeCell ref="CI60:CI69"/>
    <mergeCell ref="CJ60:CJ69"/>
    <mergeCell ref="CH93:CJ99"/>
    <mergeCell ref="CD81:CD90"/>
    <mergeCell ref="CD71:CD79"/>
    <mergeCell ref="BZ47:BZ58"/>
    <mergeCell ref="CA47:CA58"/>
    <mergeCell ref="CB47:CB58"/>
    <mergeCell ref="CC47:CC58"/>
    <mergeCell ref="CI81:CI90"/>
    <mergeCell ref="CJ81:CJ90"/>
    <mergeCell ref="CD47:CD58"/>
    <mergeCell ref="CG35:CG45"/>
    <mergeCell ref="CH81:CH90"/>
    <mergeCell ref="BZ71:BZ79"/>
    <mergeCell ref="BZ60:BZ69"/>
    <mergeCell ref="CI71:CI79"/>
    <mergeCell ref="CJ71:CJ79"/>
    <mergeCell ref="CF81:CF90"/>
    <mergeCell ref="CG81:CG90"/>
    <mergeCell ref="CF47:CF58"/>
    <mergeCell ref="CG47:CG58"/>
    <mergeCell ref="CF60:CF69"/>
    <mergeCell ref="CG60:CG69"/>
    <mergeCell ref="B1:C4"/>
    <mergeCell ref="D1:DN1"/>
    <mergeCell ref="D2:DN2"/>
    <mergeCell ref="D3:DN3"/>
    <mergeCell ref="D4:DN4"/>
    <mergeCell ref="B5:C5"/>
    <mergeCell ref="D5:DO5"/>
    <mergeCell ref="BP9:BP18"/>
    <mergeCell ref="L19:L24"/>
    <mergeCell ref="AK9:AK18"/>
    <mergeCell ref="DN7:DN8"/>
    <mergeCell ref="DO7:DO8"/>
    <mergeCell ref="M9:M16"/>
    <mergeCell ref="L9:L16"/>
    <mergeCell ref="DO1:EF1"/>
    <mergeCell ref="DO2:EF2"/>
    <mergeCell ref="DO3:EF3"/>
    <mergeCell ref="DO4:EF4"/>
    <mergeCell ref="DP5:EF5"/>
    <mergeCell ref="BU9:BU18"/>
    <mergeCell ref="BU19:BU24"/>
    <mergeCell ref="BB17:BB18"/>
    <mergeCell ref="BB19:BB24"/>
    <mergeCell ref="BV9:BV18"/>
    <mergeCell ref="BE9:BE16"/>
    <mergeCell ref="BF9:BF24"/>
    <mergeCell ref="BD17:BD18"/>
    <mergeCell ref="BE17:BE18"/>
    <mergeCell ref="BD19:BD24"/>
    <mergeCell ref="BE19:BE24"/>
    <mergeCell ref="AZ17:AZ18"/>
    <mergeCell ref="CO19:CO24"/>
    <mergeCell ref="CH7:CH8"/>
    <mergeCell ref="CQ7:CQ8"/>
    <mergeCell ref="CR7:CR8"/>
    <mergeCell ref="CY7:CY8"/>
    <mergeCell ref="AY9:AY16"/>
    <mergeCell ref="AY19:AY24"/>
    <mergeCell ref="CP7:CP8"/>
    <mergeCell ref="CW9:CW18"/>
    <mergeCell ref="EA7:EA8"/>
    <mergeCell ref="CV7:CV8"/>
    <mergeCell ref="CV9:CV18"/>
    <mergeCell ref="AX17:AX18"/>
    <mergeCell ref="AY17:AY18"/>
    <mergeCell ref="AP19:AP24"/>
    <mergeCell ref="AP9:AP18"/>
    <mergeCell ref="AQ9:AQ18"/>
    <mergeCell ref="AM19:AM24"/>
    <mergeCell ref="DW7:DW8"/>
    <mergeCell ref="BA9:BA16"/>
    <mergeCell ref="CX19:CX24"/>
    <mergeCell ref="BG9:BG16"/>
    <mergeCell ref="DY7:DY8"/>
    <mergeCell ref="DZ7:DZ8"/>
    <mergeCell ref="DC19:DC24"/>
    <mergeCell ref="DD19:DD24"/>
    <mergeCell ref="DB9:DB18"/>
    <mergeCell ref="DC9:DC18"/>
    <mergeCell ref="CS7:CS8"/>
    <mergeCell ref="CS9:CS18"/>
    <mergeCell ref="CS19:CS24"/>
    <mergeCell ref="DC7:DC8"/>
    <mergeCell ref="DD7:DD8"/>
    <mergeCell ref="BR47:BR58"/>
    <mergeCell ref="BJ47:BJ53"/>
    <mergeCell ref="BK47:BK53"/>
    <mergeCell ref="BL47:BL58"/>
    <mergeCell ref="BJ54:BJ56"/>
    <mergeCell ref="BK54:BK56"/>
    <mergeCell ref="BJ57:BJ58"/>
    <mergeCell ref="BK57:BK58"/>
    <mergeCell ref="W7:W8"/>
    <mergeCell ref="X7:X8"/>
    <mergeCell ref="V9:V16"/>
    <mergeCell ref="AS17:AS18"/>
    <mergeCell ref="AT17:AT18"/>
    <mergeCell ref="AU7:AU8"/>
    <mergeCell ref="BQ9:BQ18"/>
    <mergeCell ref="AB19:AB24"/>
    <mergeCell ref="AC19:AC24"/>
    <mergeCell ref="AD19:AD24"/>
    <mergeCell ref="AE19:AE24"/>
    <mergeCell ref="Y7:Y8"/>
    <mergeCell ref="Y9:Y16"/>
    <mergeCell ref="Y17:Y18"/>
    <mergeCell ref="Y19:Y24"/>
    <mergeCell ref="Y26:Y29"/>
    <mergeCell ref="Y31:Y32"/>
    <mergeCell ref="Y35:Y42"/>
    <mergeCell ref="Y43:Y45"/>
    <mergeCell ref="Y47:Y53"/>
    <mergeCell ref="Y54:Y56"/>
    <mergeCell ref="AR26:AR27"/>
    <mergeCell ref="AQ26:AQ33"/>
    <mergeCell ref="AR31:AR32"/>
    <mergeCell ref="P9:P12"/>
    <mergeCell ref="P13:P15"/>
    <mergeCell ref="Q9:Q12"/>
    <mergeCell ref="BB9:BB16"/>
    <mergeCell ref="AZ9:AZ16"/>
    <mergeCell ref="CI7:CI8"/>
    <mergeCell ref="CJ7:CJ8"/>
    <mergeCell ref="CH9:CH18"/>
    <mergeCell ref="CI9:CI18"/>
    <mergeCell ref="BS7:BS8"/>
    <mergeCell ref="BT7:BT8"/>
    <mergeCell ref="BZ7:BZ8"/>
    <mergeCell ref="AO6:BQ6"/>
    <mergeCell ref="N7:N8"/>
    <mergeCell ref="O7:O8"/>
    <mergeCell ref="P7:Q7"/>
    <mergeCell ref="R7:R8"/>
    <mergeCell ref="AV7:AV8"/>
    <mergeCell ref="AW7:AW8"/>
    <mergeCell ref="AX7:AX8"/>
    <mergeCell ref="AY7:AY8"/>
    <mergeCell ref="AN7:AN8"/>
    <mergeCell ref="AO7:AO8"/>
    <mergeCell ref="AZ7:AZ8"/>
    <mergeCell ref="BA7:BA8"/>
    <mergeCell ref="BB7:BB8"/>
    <mergeCell ref="BC7:BC8"/>
    <mergeCell ref="V7:V8"/>
    <mergeCell ref="BW6:BY6"/>
    <mergeCell ref="BU7:BU8"/>
    <mergeCell ref="BV7:BV8"/>
    <mergeCell ref="Z7:Z8"/>
    <mergeCell ref="U7:U8"/>
    <mergeCell ref="AK7:AK8"/>
    <mergeCell ref="AL7:AL8"/>
    <mergeCell ref="AM7:AM8"/>
    <mergeCell ref="BZ9:BZ18"/>
    <mergeCell ref="CA9:CA18"/>
    <mergeCell ref="CB9:CB18"/>
    <mergeCell ref="CC9:CC18"/>
    <mergeCell ref="CD9:CD18"/>
    <mergeCell ref="CY9:CY18"/>
    <mergeCell ref="BD7:BD8"/>
    <mergeCell ref="BE7:BE8"/>
    <mergeCell ref="BF7:BF8"/>
    <mergeCell ref="BD9:BD16"/>
    <mergeCell ref="S9:S16"/>
    <mergeCell ref="T9:T16"/>
    <mergeCell ref="AA7:AA8"/>
    <mergeCell ref="CA7:CA8"/>
    <mergeCell ref="CB7:CB8"/>
    <mergeCell ref="CC7:CC8"/>
    <mergeCell ref="CD7:CD8"/>
    <mergeCell ref="BW7:BW8"/>
    <mergeCell ref="BX7:BX8"/>
    <mergeCell ref="BY7:BY8"/>
    <mergeCell ref="CE7:CE8"/>
    <mergeCell ref="CF7:CF8"/>
    <mergeCell ref="CK7:CK8"/>
    <mergeCell ref="CL7:CL8"/>
    <mergeCell ref="CM7:CM8"/>
    <mergeCell ref="CN7:CN8"/>
    <mergeCell ref="CO7:CO8"/>
    <mergeCell ref="CG7:CG8"/>
    <mergeCell ref="A9:A92"/>
    <mergeCell ref="BR6:BV6"/>
    <mergeCell ref="DN6:DR6"/>
    <mergeCell ref="EE6:EF6"/>
    <mergeCell ref="S7:S8"/>
    <mergeCell ref="T7:T8"/>
    <mergeCell ref="G7:G8"/>
    <mergeCell ref="H7:H8"/>
    <mergeCell ref="I7:I8"/>
    <mergeCell ref="K7:K8"/>
    <mergeCell ref="L7:L8"/>
    <mergeCell ref="M7:M8"/>
    <mergeCell ref="EE7:EE8"/>
    <mergeCell ref="BP7:BP8"/>
    <mergeCell ref="AP7:AP8"/>
    <mergeCell ref="AQ7:AQ8"/>
    <mergeCell ref="AR7:AR8"/>
    <mergeCell ref="AS7:AS8"/>
    <mergeCell ref="AT7:AT8"/>
    <mergeCell ref="A7:A8"/>
    <mergeCell ref="B7:B8"/>
    <mergeCell ref="C7:C8"/>
    <mergeCell ref="D7:D8"/>
    <mergeCell ref="E7:E8"/>
    <mergeCell ref="F7:F8"/>
    <mergeCell ref="A6:U6"/>
    <mergeCell ref="AK6:AN6"/>
    <mergeCell ref="DQ7:DQ8"/>
    <mergeCell ref="DR7:DR8"/>
    <mergeCell ref="DS7:DS8"/>
    <mergeCell ref="BQ7:BQ8"/>
    <mergeCell ref="BR7:BR8"/>
    <mergeCell ref="B9:B92"/>
    <mergeCell ref="C9:C92"/>
    <mergeCell ref="D9:D46"/>
    <mergeCell ref="E9:E46"/>
    <mergeCell ref="F9:F46"/>
    <mergeCell ref="D92:U92"/>
    <mergeCell ref="K91:U91"/>
    <mergeCell ref="K80:U80"/>
    <mergeCell ref="K59:U59"/>
    <mergeCell ref="K46:U46"/>
    <mergeCell ref="K34:U34"/>
    <mergeCell ref="K25:U25"/>
    <mergeCell ref="AM91:AQ91"/>
    <mergeCell ref="G9:G46"/>
    <mergeCell ref="D47:D70"/>
    <mergeCell ref="E47:E70"/>
    <mergeCell ref="F47:F70"/>
    <mergeCell ref="AM92:AS92"/>
    <mergeCell ref="K9:K24"/>
    <mergeCell ref="K26:K33"/>
    <mergeCell ref="U17:U18"/>
    <mergeCell ref="P19:P21"/>
    <mergeCell ref="T19:T24"/>
    <mergeCell ref="AS9:AS16"/>
    <mergeCell ref="AS19:AS24"/>
    <mergeCell ref="AS26:AS29"/>
    <mergeCell ref="AS31:AS32"/>
    <mergeCell ref="AR17:AR18"/>
    <mergeCell ref="Z60:Z66"/>
    <mergeCell ref="AA60:AA66"/>
    <mergeCell ref="Z9:Z16"/>
    <mergeCell ref="AA9:AA16"/>
    <mergeCell ref="AN35:AN45"/>
    <mergeCell ref="AB31:AB32"/>
    <mergeCell ref="AC31:AC32"/>
    <mergeCell ref="AD31:AD32"/>
    <mergeCell ref="AB57:AB58"/>
    <mergeCell ref="AC57:AC58"/>
    <mergeCell ref="AD57:AD58"/>
    <mergeCell ref="AB60:AB66"/>
    <mergeCell ref="AR43:AR44"/>
    <mergeCell ref="AL47:AL58"/>
    <mergeCell ref="AN47:AN58"/>
    <mergeCell ref="AK47:AK58"/>
    <mergeCell ref="AR57:AR58"/>
    <mergeCell ref="AO47:AO58"/>
    <mergeCell ref="AQ35:AQ45"/>
    <mergeCell ref="AP26:AP33"/>
    <mergeCell ref="AM26:AM33"/>
    <mergeCell ref="AM35:AM45"/>
    <mergeCell ref="AK35:AK42"/>
    <mergeCell ref="AK43:AK45"/>
    <mergeCell ref="AL43:AL45"/>
    <mergeCell ref="AB26:AB29"/>
    <mergeCell ref="AC26:AC29"/>
    <mergeCell ref="AD26:AD29"/>
    <mergeCell ref="AC54:AC56"/>
    <mergeCell ref="AD54:AD56"/>
    <mergeCell ref="AF31:AF32"/>
    <mergeCell ref="AG31:AG32"/>
    <mergeCell ref="AI43:AI45"/>
    <mergeCell ref="AI47:AI53"/>
    <mergeCell ref="AI54:AI56"/>
    <mergeCell ref="AI57:AI58"/>
    <mergeCell ref="AS35:AS45"/>
    <mergeCell ref="AC35:AC42"/>
    <mergeCell ref="AD35:AD42"/>
    <mergeCell ref="AB43:AB45"/>
    <mergeCell ref="AC43:AC45"/>
    <mergeCell ref="AF17:AF18"/>
    <mergeCell ref="AG17:AG18"/>
    <mergeCell ref="AF19:AF24"/>
    <mergeCell ref="AG19:AG24"/>
    <mergeCell ref="AE26:AE29"/>
    <mergeCell ref="AF26:AF29"/>
    <mergeCell ref="D81:D91"/>
    <mergeCell ref="E81:E91"/>
    <mergeCell ref="F81:F91"/>
    <mergeCell ref="D71:D80"/>
    <mergeCell ref="E71:E80"/>
    <mergeCell ref="F71:F80"/>
    <mergeCell ref="AO35:AO45"/>
    <mergeCell ref="AM47:AM58"/>
    <mergeCell ref="AM60:AM69"/>
    <mergeCell ref="AM81:AM90"/>
    <mergeCell ref="AN81:AN90"/>
    <mergeCell ref="G71:G80"/>
    <mergeCell ref="G81:G91"/>
    <mergeCell ref="H9:H46"/>
    <mergeCell ref="I9:I46"/>
    <mergeCell ref="R9:R12"/>
    <mergeCell ref="H47:H70"/>
    <mergeCell ref="H71:H80"/>
    <mergeCell ref="R13:R15"/>
    <mergeCell ref="H81:H91"/>
    <mergeCell ref="I47:I70"/>
    <mergeCell ref="I71:I80"/>
    <mergeCell ref="I81:I91"/>
    <mergeCell ref="AK26:AK33"/>
    <mergeCell ref="T26:T29"/>
    <mergeCell ref="AM9:AM18"/>
    <mergeCell ref="S54:S56"/>
    <mergeCell ref="G47:G70"/>
    <mergeCell ref="L26:L29"/>
    <mergeCell ref="O9:O16"/>
    <mergeCell ref="N9:N16"/>
    <mergeCell ref="Q13:Q15"/>
    <mergeCell ref="M26:M29"/>
    <mergeCell ref="AO19:AO24"/>
    <mergeCell ref="Q35:Q36"/>
    <mergeCell ref="R22:R24"/>
    <mergeCell ref="R31:R32"/>
    <mergeCell ref="Q31:Q32"/>
    <mergeCell ref="U31:U32"/>
    <mergeCell ref="T35:T42"/>
    <mergeCell ref="AL35:AL42"/>
    <mergeCell ref="W9:W16"/>
    <mergeCell ref="X9:X16"/>
    <mergeCell ref="V17:V18"/>
    <mergeCell ref="W17:W18"/>
    <mergeCell ref="X17:X18"/>
    <mergeCell ref="AO9:AO18"/>
    <mergeCell ref="U9:U16"/>
    <mergeCell ref="P31:P32"/>
    <mergeCell ref="M19:M24"/>
    <mergeCell ref="N19:N24"/>
    <mergeCell ref="O19:O24"/>
    <mergeCell ref="N26:N29"/>
    <mergeCell ref="O26:O29"/>
    <mergeCell ref="P22:P24"/>
    <mergeCell ref="Q19:Q21"/>
    <mergeCell ref="Q22:Q24"/>
    <mergeCell ref="S19:S24"/>
    <mergeCell ref="S26:S29"/>
    <mergeCell ref="K81:K90"/>
    <mergeCell ref="U57:U58"/>
    <mergeCell ref="P47:P48"/>
    <mergeCell ref="T43:T45"/>
    <mergeCell ref="T17:T18"/>
    <mergeCell ref="R26:R27"/>
    <mergeCell ref="Q26:Q27"/>
    <mergeCell ref="P26:P27"/>
    <mergeCell ref="S47:S53"/>
    <mergeCell ref="T47:T53"/>
    <mergeCell ref="L31:L32"/>
    <mergeCell ref="Q47:Q48"/>
    <mergeCell ref="O17:O18"/>
    <mergeCell ref="L17:L18"/>
    <mergeCell ref="M17:M18"/>
    <mergeCell ref="N17:N18"/>
    <mergeCell ref="P17:P18"/>
    <mergeCell ref="R17:R18"/>
    <mergeCell ref="S17:S18"/>
    <mergeCell ref="L35:L42"/>
    <mergeCell ref="U47:U53"/>
    <mergeCell ref="Q17:Q18"/>
    <mergeCell ref="U19:U24"/>
    <mergeCell ref="T31:T32"/>
    <mergeCell ref="O35:O42"/>
    <mergeCell ref="N35:N42"/>
    <mergeCell ref="R35:R36"/>
    <mergeCell ref="R37:R42"/>
    <mergeCell ref="Q37:Q42"/>
    <mergeCell ref="U26:U29"/>
    <mergeCell ref="T54:T56"/>
    <mergeCell ref="R49:R54"/>
    <mergeCell ref="P37:P42"/>
    <mergeCell ref="S43:S45"/>
    <mergeCell ref="R43:R45"/>
    <mergeCell ref="Q43:Q45"/>
    <mergeCell ref="P43:P45"/>
    <mergeCell ref="X43:X45"/>
    <mergeCell ref="V19:V24"/>
    <mergeCell ref="W19:W24"/>
    <mergeCell ref="X19:X24"/>
    <mergeCell ref="V26:V29"/>
    <mergeCell ref="W26:W29"/>
    <mergeCell ref="P35:P36"/>
    <mergeCell ref="U43:U45"/>
    <mergeCell ref="R19:R21"/>
    <mergeCell ref="V31:V32"/>
    <mergeCell ref="W31:W32"/>
    <mergeCell ref="X31:X32"/>
    <mergeCell ref="X26:X29"/>
    <mergeCell ref="U35:U42"/>
    <mergeCell ref="V35:V42"/>
    <mergeCell ref="W35:W42"/>
    <mergeCell ref="X35:X42"/>
    <mergeCell ref="V43:V45"/>
    <mergeCell ref="W43:W45"/>
    <mergeCell ref="K47:K58"/>
    <mergeCell ref="L57:L58"/>
    <mergeCell ref="L54:L56"/>
    <mergeCell ref="M57:M58"/>
    <mergeCell ref="N57:N58"/>
    <mergeCell ref="L47:L53"/>
    <mergeCell ref="M54:M56"/>
    <mergeCell ref="N54:N56"/>
    <mergeCell ref="N43:N45"/>
    <mergeCell ref="M43:M45"/>
    <mergeCell ref="L43:L45"/>
    <mergeCell ref="M35:M42"/>
    <mergeCell ref="M31:M32"/>
    <mergeCell ref="S35:S42"/>
    <mergeCell ref="N68:N69"/>
    <mergeCell ref="L68:L69"/>
    <mergeCell ref="M68:M69"/>
    <mergeCell ref="P68:P69"/>
    <mergeCell ref="N60:N66"/>
    <mergeCell ref="R60:R67"/>
    <mergeCell ref="Q60:Q67"/>
    <mergeCell ref="P49:P54"/>
    <mergeCell ref="Q49:Q54"/>
    <mergeCell ref="R47:R48"/>
    <mergeCell ref="R55:R58"/>
    <mergeCell ref="P55:P58"/>
    <mergeCell ref="Q55:Q58"/>
    <mergeCell ref="N31:N32"/>
    <mergeCell ref="O31:O32"/>
    <mergeCell ref="S31:S32"/>
    <mergeCell ref="K35:K45"/>
    <mergeCell ref="N47:N53"/>
    <mergeCell ref="R86:R90"/>
    <mergeCell ref="P76:P78"/>
    <mergeCell ref="Q76:Q78"/>
    <mergeCell ref="R81:R82"/>
    <mergeCell ref="Q86:Q90"/>
    <mergeCell ref="Q83:Q85"/>
    <mergeCell ref="S81:S82"/>
    <mergeCell ref="T81:T82"/>
    <mergeCell ref="T57:T58"/>
    <mergeCell ref="O43:O45"/>
    <mergeCell ref="T60:T66"/>
    <mergeCell ref="O68:O69"/>
    <mergeCell ref="T86:T89"/>
    <mergeCell ref="S68:S69"/>
    <mergeCell ref="T68:T69"/>
    <mergeCell ref="S83:S85"/>
    <mergeCell ref="T83:T85"/>
    <mergeCell ref="R68:R69"/>
    <mergeCell ref="O86:O89"/>
    <mergeCell ref="S57:S58"/>
    <mergeCell ref="O47:O53"/>
    <mergeCell ref="R73:R75"/>
    <mergeCell ref="P73:P75"/>
    <mergeCell ref="Q73:Q75"/>
    <mergeCell ref="P83:P85"/>
    <mergeCell ref="S72:S75"/>
    <mergeCell ref="T72:T75"/>
    <mergeCell ref="M47:M53"/>
    <mergeCell ref="O57:O58"/>
    <mergeCell ref="O54:O56"/>
    <mergeCell ref="V72:V75"/>
    <mergeCell ref="L86:L89"/>
    <mergeCell ref="N86:N89"/>
    <mergeCell ref="S60:S66"/>
    <mergeCell ref="V47:V53"/>
    <mergeCell ref="W47:W53"/>
    <mergeCell ref="X47:X53"/>
    <mergeCell ref="V54:V56"/>
    <mergeCell ref="W54:W56"/>
    <mergeCell ref="X54:X56"/>
    <mergeCell ref="U60:U66"/>
    <mergeCell ref="U72:U75"/>
    <mergeCell ref="U81:U82"/>
    <mergeCell ref="V68:V69"/>
    <mergeCell ref="W68:W69"/>
    <mergeCell ref="X68:X69"/>
    <mergeCell ref="U86:U89"/>
    <mergeCell ref="U54:U56"/>
    <mergeCell ref="U68:U69"/>
    <mergeCell ref="X57:X58"/>
    <mergeCell ref="W57:W58"/>
    <mergeCell ref="U83:U85"/>
    <mergeCell ref="R83:R85"/>
    <mergeCell ref="W72:W75"/>
    <mergeCell ref="X72:X75"/>
    <mergeCell ref="L72:L75"/>
    <mergeCell ref="M72:M75"/>
    <mergeCell ref="N72:N75"/>
    <mergeCell ref="O72:O75"/>
    <mergeCell ref="L81:L82"/>
    <mergeCell ref="M81:M82"/>
    <mergeCell ref="N81:N82"/>
    <mergeCell ref="O81:O82"/>
    <mergeCell ref="R76:R78"/>
    <mergeCell ref="R71:R72"/>
    <mergeCell ref="AS86:AS89"/>
    <mergeCell ref="AU87:AU88"/>
    <mergeCell ref="K60:K69"/>
    <mergeCell ref="K71:K79"/>
    <mergeCell ref="AK60:AK69"/>
    <mergeCell ref="AL60:AL69"/>
    <mergeCell ref="P60:P67"/>
    <mergeCell ref="O60:O66"/>
    <mergeCell ref="L60:L66"/>
    <mergeCell ref="M60:M66"/>
    <mergeCell ref="P71:P72"/>
    <mergeCell ref="AS83:AS85"/>
    <mergeCell ref="AR65:AR66"/>
    <mergeCell ref="AS60:AS66"/>
    <mergeCell ref="AN60:AN69"/>
    <mergeCell ref="AL81:AL90"/>
    <mergeCell ref="AK81:AK90"/>
    <mergeCell ref="AR87:AR88"/>
    <mergeCell ref="AO81:AO90"/>
    <mergeCell ref="M86:M89"/>
    <mergeCell ref="Q71:Q72"/>
    <mergeCell ref="S86:S89"/>
    <mergeCell ref="P81:P82"/>
    <mergeCell ref="Q81:Q82"/>
    <mergeCell ref="Q68:Q69"/>
    <mergeCell ref="P86:P90"/>
    <mergeCell ref="AY86:AY89"/>
    <mergeCell ref="AZ83:AZ85"/>
    <mergeCell ref="AZ86:AZ89"/>
    <mergeCell ref="AZ67:AZ69"/>
    <mergeCell ref="AU65:AU66"/>
    <mergeCell ref="AZ72:AZ75"/>
    <mergeCell ref="BB60:BB66"/>
    <mergeCell ref="BB68:BB69"/>
    <mergeCell ref="BB72:BB75"/>
    <mergeCell ref="AY47:AY53"/>
    <mergeCell ref="AY54:AY58"/>
    <mergeCell ref="AY60:AY66"/>
    <mergeCell ref="AZ54:AZ58"/>
    <mergeCell ref="AZ60:AZ66"/>
    <mergeCell ref="AS47:AS53"/>
    <mergeCell ref="AS54:AS58"/>
    <mergeCell ref="AY81:AY82"/>
    <mergeCell ref="AS72:AS75"/>
    <mergeCell ref="AS81:AS82"/>
    <mergeCell ref="AS67:AS69"/>
    <mergeCell ref="BA60:BA66"/>
    <mergeCell ref="BA68:BA69"/>
    <mergeCell ref="BA86:BA89"/>
    <mergeCell ref="BA26:BA29"/>
    <mergeCell ref="BA31:BA32"/>
    <mergeCell ref="BA35:BA42"/>
    <mergeCell ref="BA43:BA45"/>
    <mergeCell ref="BA47:BA53"/>
    <mergeCell ref="AN71:AN79"/>
    <mergeCell ref="BA72:BA75"/>
    <mergeCell ref="BP71:BP79"/>
    <mergeCell ref="BQ71:BQ79"/>
    <mergeCell ref="BG19:BG24"/>
    <mergeCell ref="BH19:BH24"/>
    <mergeCell ref="BH31:BH32"/>
    <mergeCell ref="AP60:AP69"/>
    <mergeCell ref="AQ60:AQ69"/>
    <mergeCell ref="AY83:AY85"/>
    <mergeCell ref="BC60:BC69"/>
    <mergeCell ref="BQ60:BQ69"/>
    <mergeCell ref="BC9:BC24"/>
    <mergeCell ref="AZ35:AZ45"/>
    <mergeCell ref="AY67:AY69"/>
    <mergeCell ref="AY72:AY75"/>
    <mergeCell ref="AU26:AU27"/>
    <mergeCell ref="AU31:AU32"/>
    <mergeCell ref="AU43:AU44"/>
    <mergeCell ref="AY26:AY29"/>
    <mergeCell ref="AY31:AY32"/>
    <mergeCell ref="AQ19:AQ24"/>
    <mergeCell ref="AO26:AO33"/>
    <mergeCell ref="AZ26:AZ29"/>
    <mergeCell ref="AZ47:AZ53"/>
    <mergeCell ref="AP47:AP58"/>
    <mergeCell ref="AU17:AU18"/>
    <mergeCell ref="EF60:EF69"/>
    <mergeCell ref="EE81:EE90"/>
    <mergeCell ref="EF81:EF90"/>
    <mergeCell ref="EE9:EE18"/>
    <mergeCell ref="EF9:EF18"/>
    <mergeCell ref="EE19:EE24"/>
    <mergeCell ref="EF19:EF24"/>
    <mergeCell ref="EE26:EE33"/>
    <mergeCell ref="EF26:EF33"/>
    <mergeCell ref="EE35:EE45"/>
    <mergeCell ref="EF35:EF45"/>
    <mergeCell ref="EE71:EE79"/>
    <mergeCell ref="EF71:EF79"/>
    <mergeCell ref="EF47:EF58"/>
    <mergeCell ref="EE60:EE69"/>
    <mergeCell ref="EE47:EE58"/>
    <mergeCell ref="DU19:DU23"/>
    <mergeCell ref="DX31:DX32"/>
    <mergeCell ref="DX35:DX42"/>
    <mergeCell ref="DX47:DX53"/>
    <mergeCell ref="EA9:EA16"/>
    <mergeCell ref="EA17:EA18"/>
    <mergeCell ref="EA19:EA24"/>
    <mergeCell ref="EA26:EA29"/>
    <mergeCell ref="EA31:EA32"/>
    <mergeCell ref="EA35:EA42"/>
    <mergeCell ref="DZ81:DZ82"/>
    <mergeCell ref="DZ83:DZ85"/>
    <mergeCell ref="DX83:DX85"/>
    <mergeCell ref="DX86:DX89"/>
    <mergeCell ref="DY72:DY75"/>
    <mergeCell ref="DY81:DY82"/>
    <mergeCell ref="AO71:AO79"/>
    <mergeCell ref="BR9:BR18"/>
    <mergeCell ref="DX54:DX56"/>
    <mergeCell ref="DX57:DX58"/>
    <mergeCell ref="DX60:DX66"/>
    <mergeCell ref="DX68:DX69"/>
    <mergeCell ref="DX72:DX75"/>
    <mergeCell ref="DX81:DX82"/>
    <mergeCell ref="CJ9:CJ18"/>
    <mergeCell ref="CH19:CH24"/>
    <mergeCell ref="CI19:CI24"/>
    <mergeCell ref="CJ19:CJ24"/>
    <mergeCell ref="CH26:CH33"/>
    <mergeCell ref="CI26:CI33"/>
    <mergeCell ref="CJ26:CJ33"/>
    <mergeCell ref="DO26:DO27"/>
    <mergeCell ref="CE81:CE90"/>
    <mergeCell ref="CE47:CE58"/>
    <mergeCell ref="CE60:CE69"/>
    <mergeCell ref="CE71:CE79"/>
    <mergeCell ref="CE26:CE33"/>
    <mergeCell ref="BR71:BR79"/>
    <mergeCell ref="BY81:BY90"/>
    <mergeCell ref="BR60:BR69"/>
    <mergeCell ref="CM35:CM45"/>
    <mergeCell ref="CM47:CM58"/>
    <mergeCell ref="DP43:DP44"/>
    <mergeCell ref="DQ43:DQ44"/>
    <mergeCell ref="DR43:DR44"/>
    <mergeCell ref="DO57:DO58"/>
    <mergeCell ref="BC71:BC79"/>
    <mergeCell ref="BA19:BA24"/>
    <mergeCell ref="EA68:EA69"/>
    <mergeCell ref="EA72:EA75"/>
    <mergeCell ref="EA81:EA82"/>
    <mergeCell ref="EA83:EA85"/>
    <mergeCell ref="DX43:DX45"/>
    <mergeCell ref="DZ60:DZ66"/>
    <mergeCell ref="DZ68:DZ69"/>
    <mergeCell ref="DO65:DO66"/>
    <mergeCell ref="DP65:DP66"/>
    <mergeCell ref="DQ65:DQ66"/>
    <mergeCell ref="DR65:DR66"/>
    <mergeCell ref="DO43:DO44"/>
    <mergeCell ref="DP57:DP58"/>
    <mergeCell ref="DQ57:DQ58"/>
    <mergeCell ref="DS47:DS58"/>
    <mergeCell ref="DS35:DS45"/>
    <mergeCell ref="DT35:DT45"/>
    <mergeCell ref="DT71:DT79"/>
    <mergeCell ref="DT60:DT67"/>
    <mergeCell ref="DT57:DT58"/>
    <mergeCell ref="DT81:DT82"/>
    <mergeCell ref="DW43:DW45"/>
    <mergeCell ref="DW47:DW53"/>
    <mergeCell ref="DW54:DW56"/>
    <mergeCell ref="DW57:DW58"/>
    <mergeCell ref="DW60:DW66"/>
    <mergeCell ref="DW68:DW69"/>
    <mergeCell ref="DW72:DW75"/>
    <mergeCell ref="DT83:DT85"/>
    <mergeCell ref="DU60:DU67"/>
    <mergeCell ref="DY54:DY56"/>
    <mergeCell ref="DY57:DY58"/>
    <mergeCell ref="BW81:BW90"/>
    <mergeCell ref="BX81:BX90"/>
    <mergeCell ref="BI26:BI33"/>
    <mergeCell ref="BG31:BG32"/>
    <mergeCell ref="EF7:EF8"/>
    <mergeCell ref="DT7:DT8"/>
    <mergeCell ref="DU7:DU8"/>
    <mergeCell ref="DV7:DV8"/>
    <mergeCell ref="DV19:DV24"/>
    <mergeCell ref="DV17:DV18"/>
    <mergeCell ref="DV9:DV16"/>
    <mergeCell ref="DV26:DV29"/>
    <mergeCell ref="DX7:DX8"/>
    <mergeCell ref="DX9:DX16"/>
    <mergeCell ref="DX17:DX18"/>
    <mergeCell ref="DX19:DX24"/>
    <mergeCell ref="DX26:DX29"/>
    <mergeCell ref="DS26:DS33"/>
    <mergeCell ref="DT26:DT33"/>
    <mergeCell ref="CM26:CM33"/>
    <mergeCell ref="DO17:DO18"/>
    <mergeCell ref="DT9:DT18"/>
    <mergeCell ref="DP31:DP32"/>
    <mergeCell ref="DQ31:DQ32"/>
    <mergeCell ref="DR31:DR32"/>
    <mergeCell ref="DR57:DR58"/>
    <mergeCell ref="CN9:CN18"/>
    <mergeCell ref="CO9:CO18"/>
    <mergeCell ref="CU19:CU24"/>
    <mergeCell ref="DP7:DP8"/>
    <mergeCell ref="EA57:EA58"/>
    <mergeCell ref="EA60:EA66"/>
    <mergeCell ref="BE86:BE89"/>
    <mergeCell ref="AO60:AO69"/>
    <mergeCell ref="CE35:CE45"/>
    <mergeCell ref="AP35:AP45"/>
    <mergeCell ref="AU57:AU58"/>
    <mergeCell ref="BC26:BC33"/>
    <mergeCell ref="BC35:BC45"/>
    <mergeCell ref="BC47:BC58"/>
    <mergeCell ref="BF35:BF45"/>
    <mergeCell ref="BA54:BA56"/>
    <mergeCell ref="BB86:BB89"/>
    <mergeCell ref="BP81:BP90"/>
    <mergeCell ref="BZ35:BZ45"/>
    <mergeCell ref="CA35:CA45"/>
    <mergeCell ref="BF60:BF69"/>
    <mergeCell ref="BD68:BD69"/>
    <mergeCell ref="BW26:BW33"/>
    <mergeCell ref="BX26:BX33"/>
    <mergeCell ref="BY26:BY33"/>
    <mergeCell ref="BZ26:BZ33"/>
    <mergeCell ref="CA26:CA33"/>
    <mergeCell ref="CB26:CB33"/>
    <mergeCell ref="CC60:CC69"/>
    <mergeCell ref="CD60:CD69"/>
    <mergeCell ref="BE83:BE85"/>
    <mergeCell ref="BD86:BD89"/>
    <mergeCell ref="BV60:BV69"/>
    <mergeCell ref="BX47:BX58"/>
    <mergeCell ref="BD57:BD58"/>
    <mergeCell ref="BE57:BE58"/>
    <mergeCell ref="BU81:BU90"/>
    <mergeCell ref="BH57:BH58"/>
    <mergeCell ref="V60:V66"/>
    <mergeCell ref="W60:W66"/>
    <mergeCell ref="X60:X66"/>
    <mergeCell ref="AE60:AE66"/>
    <mergeCell ref="AF60:AF66"/>
    <mergeCell ref="AG60:AG66"/>
    <mergeCell ref="AE68:AE69"/>
    <mergeCell ref="AF68:AF69"/>
    <mergeCell ref="AG68:AG69"/>
    <mergeCell ref="AE72:AE75"/>
    <mergeCell ref="AF72:AF75"/>
    <mergeCell ref="AG72:AG75"/>
    <mergeCell ref="AE81:AE82"/>
    <mergeCell ref="AF81:AF82"/>
    <mergeCell ref="AG81:AG82"/>
    <mergeCell ref="AE83:AE85"/>
    <mergeCell ref="AF83:AF85"/>
    <mergeCell ref="AD68:AD69"/>
    <mergeCell ref="AB72:AB75"/>
    <mergeCell ref="AC72:AC75"/>
    <mergeCell ref="AD72:AD75"/>
    <mergeCell ref="Z81:Z82"/>
    <mergeCell ref="AA81:AA82"/>
    <mergeCell ref="Z83:Z85"/>
    <mergeCell ref="AA83:AA85"/>
    <mergeCell ref="AA68:AA69"/>
    <mergeCell ref="Z72:Z75"/>
    <mergeCell ref="AA72:AA75"/>
    <mergeCell ref="X86:X89"/>
    <mergeCell ref="V81:V82"/>
    <mergeCell ref="W81:W82"/>
    <mergeCell ref="X81:X82"/>
    <mergeCell ref="AQ81:AQ90"/>
    <mergeCell ref="AP81:AP90"/>
    <mergeCell ref="BU71:BU79"/>
    <mergeCell ref="BV71:BV79"/>
    <mergeCell ref="BQ81:BQ90"/>
    <mergeCell ref="BR81:BR90"/>
    <mergeCell ref="BA81:BA82"/>
    <mergeCell ref="AB35:AB42"/>
    <mergeCell ref="AD43:AD45"/>
    <mergeCell ref="AB47:AB53"/>
    <mergeCell ref="AC47:AC53"/>
    <mergeCell ref="W83:W85"/>
    <mergeCell ref="X83:X85"/>
    <mergeCell ref="BG35:BG42"/>
    <mergeCell ref="BH35:BH42"/>
    <mergeCell ref="AB83:AB85"/>
    <mergeCell ref="AC83:AC85"/>
    <mergeCell ref="AD83:AD85"/>
    <mergeCell ref="AD47:AD53"/>
    <mergeCell ref="V86:V89"/>
    <mergeCell ref="W86:W89"/>
    <mergeCell ref="BD83:BD85"/>
    <mergeCell ref="BI71:BI79"/>
    <mergeCell ref="BU60:BU69"/>
    <mergeCell ref="BV81:BV90"/>
    <mergeCell ref="BG81:BG82"/>
    <mergeCell ref="AC86:AC89"/>
    <mergeCell ref="AD86:AD89"/>
    <mergeCell ref="BD54:BD56"/>
    <mergeCell ref="BE54:BE56"/>
    <mergeCell ref="BU26:BU33"/>
    <mergeCell ref="BY47:BY58"/>
    <mergeCell ref="CA60:CA69"/>
    <mergeCell ref="CB60:CB69"/>
    <mergeCell ref="BP60:BP69"/>
    <mergeCell ref="BI60:BI69"/>
    <mergeCell ref="BG68:BG69"/>
    <mergeCell ref="BH68:BH69"/>
    <mergeCell ref="BG72:BG75"/>
    <mergeCell ref="BH72:BH75"/>
    <mergeCell ref="BG26:BG29"/>
    <mergeCell ref="BH26:BH29"/>
    <mergeCell ref="BE68:BE69"/>
    <mergeCell ref="BG43:BG45"/>
    <mergeCell ref="BH43:BH45"/>
    <mergeCell ref="BG47:BG53"/>
    <mergeCell ref="BH47:BH53"/>
    <mergeCell ref="BG54:BG56"/>
    <mergeCell ref="BH54:BH56"/>
    <mergeCell ref="BG57:BG58"/>
    <mergeCell ref="BD60:BD66"/>
    <mergeCell ref="BE60:BE66"/>
    <mergeCell ref="BD26:BD29"/>
    <mergeCell ref="BE26:BE29"/>
    <mergeCell ref="BF26:BF33"/>
    <mergeCell ref="BD31:BD32"/>
    <mergeCell ref="BE31:BE32"/>
    <mergeCell ref="BD35:BD42"/>
    <mergeCell ref="BE35:BE42"/>
    <mergeCell ref="BR35:BR45"/>
    <mergeCell ref="I93:S99"/>
    <mergeCell ref="T93:BY99"/>
    <mergeCell ref="CB93:CD99"/>
    <mergeCell ref="DN93:EF99"/>
    <mergeCell ref="CS71:CS79"/>
    <mergeCell ref="CS81:CS90"/>
    <mergeCell ref="CT71:CT79"/>
    <mergeCell ref="CU71:CU79"/>
    <mergeCell ref="CT81:CT90"/>
    <mergeCell ref="CU81:CU90"/>
    <mergeCell ref="BB81:BB82"/>
    <mergeCell ref="BB83:BB85"/>
    <mergeCell ref="L83:L85"/>
    <mergeCell ref="M83:M85"/>
    <mergeCell ref="N83:N85"/>
    <mergeCell ref="O83:O85"/>
    <mergeCell ref="EA86:EA89"/>
    <mergeCell ref="BF71:BF79"/>
    <mergeCell ref="BD72:BD75"/>
    <mergeCell ref="BE72:BE75"/>
    <mergeCell ref="BD81:BD82"/>
    <mergeCell ref="BE81:BE82"/>
    <mergeCell ref="BF81:BF90"/>
    <mergeCell ref="CL81:CL90"/>
    <mergeCell ref="CM81:CM90"/>
    <mergeCell ref="CO71:CO79"/>
    <mergeCell ref="CQ81:CQ90"/>
    <mergeCell ref="CR81:CR90"/>
    <mergeCell ref="CY81:CY90"/>
    <mergeCell ref="CQ71:CQ79"/>
    <mergeCell ref="CR71:CR79"/>
    <mergeCell ref="DT86:DT89"/>
    <mergeCell ref="CT7:CT8"/>
    <mergeCell ref="CU7:CU8"/>
    <mergeCell ref="CT9:CT18"/>
    <mergeCell ref="CT26:CT33"/>
    <mergeCell ref="CU26:CU33"/>
    <mergeCell ref="CT19:CT24"/>
    <mergeCell ref="CY47:CY58"/>
    <mergeCell ref="DO31:DO32"/>
    <mergeCell ref="DS60:DS69"/>
    <mergeCell ref="DS19:DS24"/>
    <mergeCell ref="DS9:DS18"/>
    <mergeCell ref="DW19:DW24"/>
    <mergeCell ref="DW26:DW29"/>
    <mergeCell ref="DW31:DW32"/>
    <mergeCell ref="CW7:CW8"/>
    <mergeCell ref="CX7:CX8"/>
    <mergeCell ref="CY60:CY69"/>
    <mergeCell ref="DP17:DP18"/>
    <mergeCell ref="DQ17:DQ18"/>
    <mergeCell ref="DR17:DR18"/>
    <mergeCell ref="CW35:CW45"/>
    <mergeCell ref="CZ7:CZ8"/>
    <mergeCell ref="DB7:DB8"/>
    <mergeCell ref="DA7:DA8"/>
    <mergeCell ref="DF35:DF45"/>
    <mergeCell ref="CZ47:CZ58"/>
    <mergeCell ref="DA47:DA58"/>
    <mergeCell ref="DB47:DB58"/>
    <mergeCell ref="CW60:CW69"/>
    <mergeCell ref="CX60:CX69"/>
    <mergeCell ref="DJ7:DJ8"/>
    <mergeCell ref="DH9:DH18"/>
    <mergeCell ref="DV83:DV85"/>
    <mergeCell ref="DW81:DW82"/>
    <mergeCell ref="CP9:CP18"/>
    <mergeCell ref="CN19:CN24"/>
    <mergeCell ref="CU9:CU18"/>
    <mergeCell ref="CV19:CV24"/>
    <mergeCell ref="CV26:CV33"/>
    <mergeCell ref="CY26:CY33"/>
    <mergeCell ref="CP35:CP45"/>
    <mergeCell ref="CR47:CR58"/>
    <mergeCell ref="CH71:CH79"/>
    <mergeCell ref="V57:V58"/>
    <mergeCell ref="DV86:DV89"/>
    <mergeCell ref="V83:V85"/>
    <mergeCell ref="DW86:DW89"/>
    <mergeCell ref="DT47:DT55"/>
    <mergeCell ref="DR26:DR27"/>
    <mergeCell ref="DA71:DA79"/>
    <mergeCell ref="DT19:DT24"/>
    <mergeCell ref="CF71:CF79"/>
    <mergeCell ref="CG71:CG79"/>
    <mergeCell ref="CF26:CF33"/>
    <mergeCell ref="CG26:CG33"/>
    <mergeCell ref="CF35:CF45"/>
    <mergeCell ref="BD43:BD45"/>
    <mergeCell ref="BE43:BE45"/>
    <mergeCell ref="BD47:BD53"/>
    <mergeCell ref="BE47:BE53"/>
    <mergeCell ref="BF47:BF58"/>
    <mergeCell ref="CY35:CY45"/>
    <mergeCell ref="CX35:CX45"/>
    <mergeCell ref="CX9:CX18"/>
    <mergeCell ref="AB86:AB89"/>
    <mergeCell ref="DW83:DW85"/>
    <mergeCell ref="DU31:DU32"/>
    <mergeCell ref="DV35:DV42"/>
    <mergeCell ref="DV43:DV45"/>
    <mergeCell ref="DU43:DU45"/>
    <mergeCell ref="DU37:DU42"/>
    <mergeCell ref="DU9:DU12"/>
    <mergeCell ref="DV31:DV32"/>
    <mergeCell ref="DU47:DU55"/>
    <mergeCell ref="DV47:DV53"/>
    <mergeCell ref="DU57:DU58"/>
    <mergeCell ref="DU81:DU82"/>
    <mergeCell ref="DV54:DV56"/>
    <mergeCell ref="DU13:DU15"/>
    <mergeCell ref="DU17:DU18"/>
    <mergeCell ref="DU26:DU27"/>
    <mergeCell ref="DV81:DV82"/>
    <mergeCell ref="DW35:DW42"/>
    <mergeCell ref="DW9:DW16"/>
    <mergeCell ref="DW17:DW18"/>
    <mergeCell ref="DV57:DV58"/>
    <mergeCell ref="DV60:DV66"/>
    <mergeCell ref="DV68:DV69"/>
    <mergeCell ref="DV72:DV75"/>
    <mergeCell ref="DE19:DE24"/>
    <mergeCell ref="DF19:DF24"/>
    <mergeCell ref="DG19:DG24"/>
    <mergeCell ref="DE26:DE33"/>
    <mergeCell ref="DF26:DF33"/>
    <mergeCell ref="DG26:DG33"/>
    <mergeCell ref="DE35:DE45"/>
    <mergeCell ref="CR9:CR18"/>
    <mergeCell ref="CQ19:CQ24"/>
    <mergeCell ref="CV81:CV90"/>
    <mergeCell ref="CT60:CT69"/>
    <mergeCell ref="CU60:CU69"/>
    <mergeCell ref="CX26:CX33"/>
    <mergeCell ref="CW26:CW33"/>
    <mergeCell ref="CT35:CT45"/>
    <mergeCell ref="CU35:CU45"/>
    <mergeCell ref="CQ9:CQ18"/>
    <mergeCell ref="DD71:DD79"/>
    <mergeCell ref="DP26:DP27"/>
    <mergeCell ref="DQ26:DQ27"/>
    <mergeCell ref="DD9:DD18"/>
    <mergeCell ref="CQ26:CQ33"/>
    <mergeCell ref="CR26:CR33"/>
    <mergeCell ref="CQ35:CQ45"/>
    <mergeCell ref="CR35:CR45"/>
    <mergeCell ref="CQ60:CQ69"/>
    <mergeCell ref="CR60:CR69"/>
    <mergeCell ref="DF81:DF90"/>
    <mergeCell ref="DJ71:DJ79"/>
    <mergeCell ref="DJ81:DJ90"/>
    <mergeCell ref="CV35:CV45"/>
    <mergeCell ref="CV47:CV58"/>
    <mergeCell ref="CV60:CV69"/>
    <mergeCell ref="CV71:CV79"/>
    <mergeCell ref="CS26:CS33"/>
    <mergeCell ref="CS35:CS45"/>
    <mergeCell ref="CS47:CS58"/>
    <mergeCell ref="CS60:CS69"/>
    <mergeCell ref="CW71:CW79"/>
    <mergeCell ref="CL19:CL24"/>
    <mergeCell ref="CM19:CM24"/>
    <mergeCell ref="CZ19:CZ24"/>
    <mergeCell ref="CZ26:CZ33"/>
    <mergeCell ref="DA26:DA33"/>
    <mergeCell ref="DB26:DB33"/>
    <mergeCell ref="DC26:DC33"/>
    <mergeCell ref="DD26:DD33"/>
    <mergeCell ref="CZ35:CZ45"/>
    <mergeCell ref="DA35:DA45"/>
    <mergeCell ref="DB35:DB45"/>
    <mergeCell ref="DC35:DC45"/>
    <mergeCell ref="CR19:CR24"/>
    <mergeCell ref="DP87:DP88"/>
    <mergeCell ref="CZ60:CZ69"/>
    <mergeCell ref="DA60:DA69"/>
    <mergeCell ref="DB60:DB69"/>
    <mergeCell ref="CX71:CX79"/>
    <mergeCell ref="DB81:DB90"/>
    <mergeCell ref="DC81:DC90"/>
    <mergeCell ref="DD81:DD90"/>
    <mergeCell ref="DK60:DK69"/>
    <mergeCell ref="DL60:DL69"/>
    <mergeCell ref="DM60:DM69"/>
    <mergeCell ref="DK71:DK79"/>
    <mergeCell ref="DL71:DL79"/>
    <mergeCell ref="DM71:DM79"/>
    <mergeCell ref="DK81:DK90"/>
    <mergeCell ref="DL81:DL90"/>
    <mergeCell ref="DM81:DM90"/>
    <mergeCell ref="BV35:BV45"/>
    <mergeCell ref="BV19:BV24"/>
    <mergeCell ref="BV26:BV33"/>
    <mergeCell ref="BV47:BV58"/>
    <mergeCell ref="BZ19:BZ24"/>
    <mergeCell ref="BX35:BX45"/>
    <mergeCell ref="BY35:BY45"/>
    <mergeCell ref="DB19:DB24"/>
    <mergeCell ref="CE9:CE18"/>
    <mergeCell ref="CF9:CF18"/>
    <mergeCell ref="BI7:BI8"/>
    <mergeCell ref="BI35:BI45"/>
    <mergeCell ref="BI47:BI58"/>
    <mergeCell ref="BJ72:BJ75"/>
    <mergeCell ref="BK72:BK75"/>
    <mergeCell ref="DU35:DU36"/>
    <mergeCell ref="CY19:CY24"/>
    <mergeCell ref="CK35:CK45"/>
    <mergeCell ref="CL35:CL45"/>
    <mergeCell ref="CK47:CK58"/>
    <mergeCell ref="CL47:CL58"/>
    <mergeCell ref="CK26:CK33"/>
    <mergeCell ref="CL26:CL33"/>
    <mergeCell ref="CO26:CO33"/>
    <mergeCell ref="CP26:CP33"/>
    <mergeCell ref="CN35:CN45"/>
    <mergeCell ref="CO35:CO45"/>
    <mergeCell ref="CL71:CL79"/>
    <mergeCell ref="CM71:CM79"/>
    <mergeCell ref="CP71:CP79"/>
    <mergeCell ref="CP19:CP24"/>
    <mergeCell ref="CN26:CN33"/>
    <mergeCell ref="BH9:BH16"/>
    <mergeCell ref="BI9:BI24"/>
    <mergeCell ref="CG9:CG18"/>
    <mergeCell ref="CE19:CE24"/>
    <mergeCell ref="CF19:CF24"/>
    <mergeCell ref="DE71:DE79"/>
    <mergeCell ref="BG17:BG18"/>
    <mergeCell ref="BH17:BH18"/>
    <mergeCell ref="CH108:CJ108"/>
    <mergeCell ref="CK108:CM108"/>
    <mergeCell ref="CN108:CP108"/>
    <mergeCell ref="CQ108:CY108"/>
    <mergeCell ref="EA43:EA45"/>
    <mergeCell ref="EA47:EA53"/>
    <mergeCell ref="CU47:CU58"/>
    <mergeCell ref="CT47:CT58"/>
    <mergeCell ref="EA54:EA56"/>
    <mergeCell ref="DC60:DC69"/>
    <mergeCell ref="DD60:DD69"/>
    <mergeCell ref="CZ71:CZ79"/>
    <mergeCell ref="CN71:CN79"/>
    <mergeCell ref="CB19:CB24"/>
    <mergeCell ref="CC19:CC24"/>
    <mergeCell ref="CD19:CD24"/>
    <mergeCell ref="CD35:CD45"/>
    <mergeCell ref="CC26:CC33"/>
    <mergeCell ref="CD26:CD33"/>
    <mergeCell ref="CK60:CK69"/>
    <mergeCell ref="BP47:BP58"/>
    <mergeCell ref="DF71:DF79"/>
    <mergeCell ref="DG71:DG79"/>
    <mergeCell ref="DE81:DE90"/>
    <mergeCell ref="BG60:BG66"/>
    <mergeCell ref="BH60:BH66"/>
    <mergeCell ref="CL60:CL69"/>
    <mergeCell ref="CN81:CN90"/>
    <mergeCell ref="CO81:CO90"/>
    <mergeCell ref="CP81:CP90"/>
    <mergeCell ref="BH81:BH82"/>
    <mergeCell ref="BI81:BI90"/>
    <mergeCell ref="BG83:BG85"/>
    <mergeCell ref="BH83:BH85"/>
    <mergeCell ref="BG86:BG89"/>
    <mergeCell ref="BH86:BH89"/>
    <mergeCell ref="CK81:CK90"/>
    <mergeCell ref="DD35:DD45"/>
    <mergeCell ref="AB7:AB8"/>
    <mergeCell ref="AC7:AC8"/>
    <mergeCell ref="AD7:AD8"/>
    <mergeCell ref="AB9:AB16"/>
    <mergeCell ref="AC9:AC16"/>
    <mergeCell ref="AD9:AD16"/>
    <mergeCell ref="AB17:AB18"/>
    <mergeCell ref="AC17:AC18"/>
    <mergeCell ref="AD17:AD18"/>
    <mergeCell ref="AC60:AC66"/>
    <mergeCell ref="AD60:AD66"/>
    <mergeCell ref="AQ47:AQ58"/>
    <mergeCell ref="AB68:AB69"/>
    <mergeCell ref="AC68:AC69"/>
    <mergeCell ref="AB81:AB82"/>
    <mergeCell ref="AC81:AC82"/>
    <mergeCell ref="AD81:AD82"/>
    <mergeCell ref="AB54:AB56"/>
    <mergeCell ref="AP71:AP79"/>
    <mergeCell ref="AQ71:AQ79"/>
    <mergeCell ref="AK71:AK79"/>
    <mergeCell ref="AL71:AL79"/>
    <mergeCell ref="AM71:AM79"/>
    <mergeCell ref="AE7:AE8"/>
    <mergeCell ref="AF7:AF8"/>
    <mergeCell ref="AG7:AG8"/>
    <mergeCell ref="AE9:AE16"/>
    <mergeCell ref="AF9:AF16"/>
    <mergeCell ref="AG9:AG16"/>
    <mergeCell ref="AE17:AE18"/>
    <mergeCell ref="EC7:EC8"/>
    <mergeCell ref="EC9:EC16"/>
    <mergeCell ref="EC17:EC18"/>
    <mergeCell ref="EC19:EC24"/>
    <mergeCell ref="EC26:EC29"/>
    <mergeCell ref="EC31:EC32"/>
    <mergeCell ref="EC35:EC42"/>
    <mergeCell ref="EC43:EC45"/>
    <mergeCell ref="EC47:EC53"/>
    <mergeCell ref="EC54:EC56"/>
    <mergeCell ref="EC57:EC58"/>
    <mergeCell ref="EC60:EC66"/>
    <mergeCell ref="EC68:EC69"/>
    <mergeCell ref="EC72:EC75"/>
    <mergeCell ref="DE7:DE8"/>
    <mergeCell ref="DF7:DF8"/>
    <mergeCell ref="DG7:DG8"/>
    <mergeCell ref="DE9:DE18"/>
    <mergeCell ref="DF9:DF18"/>
    <mergeCell ref="DG9:DG18"/>
    <mergeCell ref="EC81:EC82"/>
    <mergeCell ref="EC83:EC85"/>
    <mergeCell ref="EC86:EC89"/>
    <mergeCell ref="AE35:AE42"/>
    <mergeCell ref="AF35:AF42"/>
    <mergeCell ref="AG35:AG42"/>
    <mergeCell ref="AE43:AE45"/>
    <mergeCell ref="AF43:AF45"/>
    <mergeCell ref="AG43:AG45"/>
    <mergeCell ref="AE47:AE53"/>
    <mergeCell ref="AF47:AF53"/>
    <mergeCell ref="AG47:AG53"/>
    <mergeCell ref="AE54:AE56"/>
    <mergeCell ref="AF54:AF56"/>
    <mergeCell ref="AG54:AG56"/>
    <mergeCell ref="AE57:AE58"/>
    <mergeCell ref="AF57:AF58"/>
    <mergeCell ref="AG57:AG58"/>
    <mergeCell ref="DG81:DG90"/>
    <mergeCell ref="DG35:DG45"/>
    <mergeCell ref="DE47:DE58"/>
    <mergeCell ref="DF47:DF58"/>
    <mergeCell ref="DG47:DG58"/>
    <mergeCell ref="DE60:DE69"/>
    <mergeCell ref="DF60:DF69"/>
    <mergeCell ref="DG60:DG69"/>
    <mergeCell ref="BJ60:BJ66"/>
    <mergeCell ref="BK60:BK66"/>
    <mergeCell ref="BL60:BL69"/>
    <mergeCell ref="BJ68:BJ69"/>
    <mergeCell ref="BK68:BK69"/>
    <mergeCell ref="BL71:BL79"/>
    <mergeCell ref="BG7:BG8"/>
    <mergeCell ref="BH7:BH8"/>
    <mergeCell ref="BJ31:BJ32"/>
    <mergeCell ref="BK31:BK32"/>
    <mergeCell ref="BJ35:BJ42"/>
    <mergeCell ref="BK35:BK42"/>
    <mergeCell ref="BL35:BL45"/>
    <mergeCell ref="BJ43:BJ45"/>
    <mergeCell ref="BK43:BK45"/>
    <mergeCell ref="AG83:AG85"/>
    <mergeCell ref="AE86:AE89"/>
    <mergeCell ref="AF86:AF89"/>
    <mergeCell ref="AG86:AG89"/>
    <mergeCell ref="EB7:EB8"/>
    <mergeCell ref="EB9:EB16"/>
    <mergeCell ref="EB17:EB18"/>
    <mergeCell ref="EB19:EB24"/>
    <mergeCell ref="EB26:EB29"/>
    <mergeCell ref="EB31:EB32"/>
    <mergeCell ref="EB35:EB42"/>
    <mergeCell ref="EB43:EB45"/>
    <mergeCell ref="EB47:EB53"/>
    <mergeCell ref="EB54:EB56"/>
    <mergeCell ref="EB57:EB58"/>
    <mergeCell ref="EB60:EB66"/>
    <mergeCell ref="EB68:EB69"/>
    <mergeCell ref="EB72:EB75"/>
    <mergeCell ref="EB81:EB82"/>
    <mergeCell ref="EB83:EB85"/>
    <mergeCell ref="EB86:EB89"/>
    <mergeCell ref="AG26:AG29"/>
    <mergeCell ref="AE31:AE32"/>
    <mergeCell ref="BJ81:BJ82"/>
    <mergeCell ref="BK81:BK82"/>
    <mergeCell ref="BL81:BL90"/>
    <mergeCell ref="BJ83:BJ85"/>
    <mergeCell ref="BK83:BK85"/>
    <mergeCell ref="BJ86:BJ89"/>
    <mergeCell ref="BK86:BK89"/>
    <mergeCell ref="DH7:DH8"/>
    <mergeCell ref="DI7:DI8"/>
    <mergeCell ref="DH71:DH79"/>
    <mergeCell ref="DI71:DI79"/>
    <mergeCell ref="BJ7:BJ8"/>
    <mergeCell ref="BK7:BK8"/>
    <mergeCell ref="BL7:BL8"/>
    <mergeCell ref="BJ9:BJ16"/>
    <mergeCell ref="BK9:BK16"/>
    <mergeCell ref="BL9:BL24"/>
    <mergeCell ref="BJ17:BJ18"/>
    <mergeCell ref="BK17:BK18"/>
    <mergeCell ref="BJ19:BJ24"/>
    <mergeCell ref="BK19:BK24"/>
    <mergeCell ref="BJ26:BJ29"/>
    <mergeCell ref="BK26:BK29"/>
    <mergeCell ref="BL26:BL33"/>
    <mergeCell ref="DH81:DH90"/>
    <mergeCell ref="DI81:DI90"/>
    <mergeCell ref="CP60:CP69"/>
    <mergeCell ref="CN60:CN69"/>
    <mergeCell ref="CO60:CO69"/>
    <mergeCell ref="DB71:DB79"/>
    <mergeCell ref="CG19:CG24"/>
    <mergeCell ref="BU35:BU45"/>
    <mergeCell ref="DI9:DI18"/>
    <mergeCell ref="DJ9:DJ18"/>
    <mergeCell ref="DH19:DH24"/>
    <mergeCell ref="DI19:DI24"/>
    <mergeCell ref="DJ19:DJ24"/>
    <mergeCell ref="DH26:DH33"/>
    <mergeCell ref="DI26:DI33"/>
    <mergeCell ref="DJ26:DJ33"/>
    <mergeCell ref="DH35:DH45"/>
    <mergeCell ref="DI35:DI45"/>
    <mergeCell ref="DJ35:DJ45"/>
    <mergeCell ref="DH47:DH58"/>
    <mergeCell ref="DI47:DI58"/>
    <mergeCell ref="DJ47:DJ58"/>
    <mergeCell ref="DH60:DH69"/>
    <mergeCell ref="DI60:DI69"/>
    <mergeCell ref="DJ60:DJ69"/>
    <mergeCell ref="DK7:DK8"/>
    <mergeCell ref="DL7:DL8"/>
    <mergeCell ref="DM7:DM8"/>
    <mergeCell ref="DK9:DK18"/>
    <mergeCell ref="DL9:DL18"/>
    <mergeCell ref="DM9:DM18"/>
    <mergeCell ref="DK19:DK24"/>
    <mergeCell ref="DL19:DL24"/>
    <mergeCell ref="DM19:DM24"/>
    <mergeCell ref="DK26:DK33"/>
    <mergeCell ref="DL26:DL33"/>
    <mergeCell ref="DM26:DM33"/>
    <mergeCell ref="DK35:DK45"/>
    <mergeCell ref="DL35:DL45"/>
    <mergeCell ref="DM35:DM45"/>
    <mergeCell ref="DK47:DK58"/>
    <mergeCell ref="DL47:DL58"/>
    <mergeCell ref="DM47:DM58"/>
    <mergeCell ref="BM7:BM8"/>
    <mergeCell ref="BM9:BM16"/>
    <mergeCell ref="BM17:BM18"/>
    <mergeCell ref="BM19:BM24"/>
    <mergeCell ref="BM26:BM29"/>
    <mergeCell ref="BM31:BM32"/>
    <mergeCell ref="BM35:BM42"/>
    <mergeCell ref="BM43:BM45"/>
    <mergeCell ref="BM47:BM53"/>
    <mergeCell ref="BM54:BM56"/>
    <mergeCell ref="BM57:BM58"/>
    <mergeCell ref="BM60:BM66"/>
    <mergeCell ref="BM68:BM69"/>
    <mergeCell ref="BM72:BM75"/>
    <mergeCell ref="BM81:BM82"/>
    <mergeCell ref="BM83:BM85"/>
    <mergeCell ref="BM86:BM89"/>
    <mergeCell ref="BN7:BN8"/>
    <mergeCell ref="BN9:BN16"/>
    <mergeCell ref="BN17:BN18"/>
    <mergeCell ref="BN19:BN24"/>
    <mergeCell ref="BN26:BN29"/>
    <mergeCell ref="BN31:BN32"/>
    <mergeCell ref="BN35:BN42"/>
    <mergeCell ref="BN43:BN45"/>
    <mergeCell ref="BN47:BN53"/>
    <mergeCell ref="BN54:BN56"/>
    <mergeCell ref="BN57:BN58"/>
    <mergeCell ref="BN60:BN66"/>
    <mergeCell ref="BN68:BN69"/>
    <mergeCell ref="BN72:BN75"/>
    <mergeCell ref="BN81:BN82"/>
    <mergeCell ref="BN83:BN85"/>
    <mergeCell ref="BN86:BN89"/>
    <mergeCell ref="BO7:BO8"/>
    <mergeCell ref="BO9:BO24"/>
    <mergeCell ref="BO26:BO33"/>
    <mergeCell ref="BO35:BO45"/>
    <mergeCell ref="BO47:BO58"/>
    <mergeCell ref="BO60:BO69"/>
    <mergeCell ref="BO71:BO79"/>
    <mergeCell ref="BO81:BO90"/>
    <mergeCell ref="AH7:AH8"/>
    <mergeCell ref="AH9:AH16"/>
    <mergeCell ref="AH17:AH18"/>
    <mergeCell ref="AH19:AH24"/>
    <mergeCell ref="AH26:AH29"/>
    <mergeCell ref="AH31:AH32"/>
    <mergeCell ref="AH35:AH42"/>
    <mergeCell ref="AH43:AH45"/>
    <mergeCell ref="AH47:AH53"/>
    <mergeCell ref="AH54:AH56"/>
    <mergeCell ref="AH57:AH58"/>
    <mergeCell ref="AH60:AH66"/>
    <mergeCell ref="AH68:AH69"/>
    <mergeCell ref="AH72:AH75"/>
    <mergeCell ref="AH81:AH82"/>
    <mergeCell ref="AH83:AH85"/>
    <mergeCell ref="AH86:AH89"/>
    <mergeCell ref="AI7:AI8"/>
    <mergeCell ref="AI9:AI16"/>
    <mergeCell ref="AI17:AI18"/>
    <mergeCell ref="AI19:AI24"/>
    <mergeCell ref="AI26:AI29"/>
    <mergeCell ref="AI31:AI32"/>
    <mergeCell ref="AI35:AI42"/>
    <mergeCell ref="AI60:AI66"/>
    <mergeCell ref="AI68:AI69"/>
    <mergeCell ref="AI72:AI75"/>
    <mergeCell ref="AI81:AI82"/>
    <mergeCell ref="AI83:AI85"/>
    <mergeCell ref="AI86:AI89"/>
    <mergeCell ref="AJ7:AJ8"/>
    <mergeCell ref="AJ9:AJ16"/>
    <mergeCell ref="AJ17:AJ18"/>
    <mergeCell ref="AJ19:AJ24"/>
    <mergeCell ref="AJ26:AJ29"/>
    <mergeCell ref="AJ31:AJ32"/>
    <mergeCell ref="AJ35:AJ42"/>
    <mergeCell ref="AJ43:AJ45"/>
    <mergeCell ref="AJ47:AJ53"/>
    <mergeCell ref="AJ54:AJ56"/>
    <mergeCell ref="AJ57:AJ58"/>
    <mergeCell ref="AJ60:AJ66"/>
    <mergeCell ref="AJ68:AJ69"/>
    <mergeCell ref="AJ72:AJ75"/>
    <mergeCell ref="AJ81:AJ82"/>
    <mergeCell ref="AJ83:AJ85"/>
    <mergeCell ref="AJ86:AJ89"/>
    <mergeCell ref="ED7:ED8"/>
    <mergeCell ref="ED9:ED16"/>
    <mergeCell ref="ED17:ED18"/>
    <mergeCell ref="ED19:ED24"/>
    <mergeCell ref="ED26:ED29"/>
    <mergeCell ref="ED31:ED32"/>
    <mergeCell ref="ED35:ED42"/>
    <mergeCell ref="ED43:ED45"/>
    <mergeCell ref="ED47:ED53"/>
    <mergeCell ref="ED54:ED56"/>
    <mergeCell ref="ED57:ED58"/>
    <mergeCell ref="ED60:ED66"/>
    <mergeCell ref="ED68:ED69"/>
    <mergeCell ref="ED72:ED75"/>
    <mergeCell ref="ED81:ED82"/>
    <mergeCell ref="ED83:ED85"/>
    <mergeCell ref="ED86:ED89"/>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7:Q13"/>
  <sheetViews>
    <sheetView topLeftCell="A28" workbookViewId="0">
      <selection activeCell="M13" sqref="M13"/>
    </sheetView>
  </sheetViews>
  <sheetFormatPr baseColWidth="10" defaultColWidth="11.42578125" defaultRowHeight="15" x14ac:dyDescent="0.25"/>
  <cols>
    <col min="11" max="11" width="13.140625" bestFit="1" customWidth="1"/>
  </cols>
  <sheetData>
    <row r="7" spans="6:17" x14ac:dyDescent="0.25">
      <c r="F7" s="753"/>
      <c r="G7" s="753"/>
      <c r="H7" s="753"/>
      <c r="I7" s="753"/>
      <c r="N7" s="753"/>
      <c r="O7" s="753"/>
      <c r="P7" s="753"/>
      <c r="Q7" s="753"/>
    </row>
    <row r="8" spans="6:17" x14ac:dyDescent="0.25">
      <c r="F8" s="152"/>
      <c r="G8" s="152"/>
      <c r="H8" s="152"/>
      <c r="I8" s="152"/>
      <c r="N8" s="152"/>
      <c r="O8" s="167"/>
      <c r="P8" s="152"/>
      <c r="Q8" s="152"/>
    </row>
    <row r="9" spans="6:17" x14ac:dyDescent="0.25">
      <c r="F9" s="153"/>
      <c r="G9" s="154"/>
      <c r="H9" s="154"/>
      <c r="I9" s="155"/>
      <c r="K9" s="165"/>
      <c r="N9" s="154"/>
      <c r="O9" s="154"/>
      <c r="P9" s="154"/>
      <c r="Q9" s="154"/>
    </row>
    <row r="10" spans="6:17" x14ac:dyDescent="0.25">
      <c r="F10" s="153"/>
      <c r="G10" s="154"/>
      <c r="H10" s="154"/>
      <c r="I10" s="155"/>
      <c r="N10" s="154"/>
      <c r="O10" s="154"/>
      <c r="P10" s="154"/>
      <c r="Q10" s="154"/>
    </row>
    <row r="11" spans="6:17" x14ac:dyDescent="0.25">
      <c r="F11" s="153"/>
      <c r="G11" s="156"/>
      <c r="H11" s="156"/>
      <c r="I11" s="155"/>
      <c r="N11" s="154"/>
      <c r="O11" s="155"/>
      <c r="P11" s="155"/>
      <c r="Q11" s="155"/>
    </row>
    <row r="12" spans="6:17" x14ac:dyDescent="0.25">
      <c r="F12" s="157"/>
      <c r="I12" s="158"/>
      <c r="K12" s="166"/>
      <c r="N12" s="157"/>
    </row>
    <row r="13" spans="6:17" x14ac:dyDescent="0.25">
      <c r="N13" s="159"/>
    </row>
  </sheetData>
  <mergeCells count="2">
    <mergeCell ref="F7:I7"/>
    <mergeCell ref="N7:Q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zoomScale="60" zoomScaleNormal="60" workbookViewId="0">
      <selection activeCell="E17" sqref="E17"/>
    </sheetView>
  </sheetViews>
  <sheetFormatPr baseColWidth="10" defaultColWidth="10.7109375" defaultRowHeight="15" x14ac:dyDescent="0.25"/>
  <cols>
    <col min="1" max="1" width="20.7109375" customWidth="1"/>
    <col min="2" max="2" width="25" customWidth="1"/>
    <col min="3" max="3" width="19.85546875" customWidth="1"/>
    <col min="4" max="4" width="20.42578125" customWidth="1"/>
    <col min="5" max="5" width="30.28515625" customWidth="1"/>
    <col min="6" max="6" width="34.28515625" customWidth="1"/>
    <col min="7" max="7" width="43.7109375" customWidth="1"/>
    <col min="9" max="9" width="15" customWidth="1"/>
    <col min="10" max="10" width="30.7109375" customWidth="1"/>
  </cols>
  <sheetData>
    <row r="1" spans="1:7" ht="44.25" customHeight="1" x14ac:dyDescent="0.25">
      <c r="A1" s="759" t="s">
        <v>708</v>
      </c>
      <c r="B1" s="760"/>
      <c r="C1" s="760"/>
      <c r="D1" s="760"/>
      <c r="E1" s="760"/>
      <c r="F1" s="760"/>
      <c r="G1" s="761"/>
    </row>
    <row r="2" spans="1:7" s="11" customFormat="1" ht="43.5" customHeight="1" x14ac:dyDescent="0.25">
      <c r="A2" s="26" t="s">
        <v>709</v>
      </c>
      <c r="B2" s="762" t="s">
        <v>710</v>
      </c>
      <c r="C2" s="762"/>
      <c r="D2" s="762"/>
      <c r="E2" s="762"/>
      <c r="F2" s="762"/>
      <c r="G2" s="13" t="s">
        <v>711</v>
      </c>
    </row>
    <row r="3" spans="1:7" ht="45" customHeight="1" x14ac:dyDescent="0.25">
      <c r="A3" s="6" t="s">
        <v>712</v>
      </c>
      <c r="B3" s="763" t="s">
        <v>713</v>
      </c>
      <c r="C3" s="764"/>
      <c r="D3" s="764"/>
      <c r="E3" s="764"/>
      <c r="F3" s="765"/>
      <c r="G3" s="1" t="s">
        <v>714</v>
      </c>
    </row>
    <row r="4" spans="1:7" ht="45" customHeight="1" x14ac:dyDescent="0.25">
      <c r="A4" s="2"/>
      <c r="B4" s="766"/>
      <c r="C4" s="767"/>
      <c r="D4" s="767"/>
      <c r="E4" s="767"/>
      <c r="F4" s="768"/>
      <c r="G4" s="3"/>
    </row>
    <row r="5" spans="1:7" ht="45" customHeight="1" x14ac:dyDescent="0.25">
      <c r="A5" s="2"/>
      <c r="B5" s="766"/>
      <c r="C5" s="767"/>
      <c r="D5" s="767"/>
      <c r="E5" s="767"/>
      <c r="F5" s="768"/>
      <c r="G5" s="3"/>
    </row>
    <row r="6" spans="1:7" ht="45" customHeight="1" thickBot="1" x14ac:dyDescent="0.3">
      <c r="A6" s="4"/>
      <c r="B6" s="755"/>
      <c r="C6" s="755"/>
      <c r="D6" s="755"/>
      <c r="E6" s="755"/>
      <c r="F6" s="755"/>
      <c r="G6" s="5"/>
    </row>
    <row r="7" spans="1:7" ht="45" customHeight="1" thickBot="1" x14ac:dyDescent="0.3">
      <c r="A7" s="756"/>
      <c r="B7" s="756"/>
      <c r="C7" s="756"/>
      <c r="D7" s="756"/>
      <c r="E7" s="756"/>
      <c r="F7" s="756"/>
      <c r="G7" s="756"/>
    </row>
    <row r="8" spans="1:7" s="11" customFormat="1" ht="45" customHeight="1" x14ac:dyDescent="0.25">
      <c r="A8" s="9"/>
      <c r="B8" s="757" t="s">
        <v>715</v>
      </c>
      <c r="C8" s="757"/>
      <c r="D8" s="757" t="s">
        <v>716</v>
      </c>
      <c r="E8" s="757"/>
      <c r="F8" s="22" t="s">
        <v>709</v>
      </c>
      <c r="G8" s="10" t="s">
        <v>717</v>
      </c>
    </row>
    <row r="9" spans="1:7" ht="45" customHeight="1" x14ac:dyDescent="0.25">
      <c r="A9" s="12" t="s">
        <v>718</v>
      </c>
      <c r="B9" s="758" t="s">
        <v>719</v>
      </c>
      <c r="C9" s="758"/>
      <c r="D9" s="754" t="s">
        <v>720</v>
      </c>
      <c r="E9" s="754"/>
      <c r="F9" s="6" t="s">
        <v>712</v>
      </c>
      <c r="G9" s="7"/>
    </row>
    <row r="10" spans="1:7" ht="45" customHeight="1" x14ac:dyDescent="0.25">
      <c r="A10" s="12" t="s">
        <v>721</v>
      </c>
      <c r="B10" s="754" t="s">
        <v>722</v>
      </c>
      <c r="C10" s="754"/>
      <c r="D10" s="754" t="s">
        <v>723</v>
      </c>
      <c r="E10" s="754"/>
      <c r="F10" s="6" t="s">
        <v>712</v>
      </c>
      <c r="G10" s="7"/>
    </row>
    <row r="11" spans="1:7" ht="45" customHeight="1" thickBot="1" x14ac:dyDescent="0.3">
      <c r="A11" s="25" t="s">
        <v>724</v>
      </c>
      <c r="B11" s="754" t="s">
        <v>722</v>
      </c>
      <c r="C11" s="754"/>
      <c r="D11" s="754" t="s">
        <v>723</v>
      </c>
      <c r="E11" s="754"/>
      <c r="F11" s="6" t="s">
        <v>712</v>
      </c>
      <c r="G11" s="8"/>
    </row>
    <row r="12" spans="1:7" ht="45" customHeight="1" x14ac:dyDescent="0.25"/>
  </sheetData>
  <mergeCells count="15">
    <mergeCell ref="A1:G1"/>
    <mergeCell ref="B2:F2"/>
    <mergeCell ref="B3:F3"/>
    <mergeCell ref="B4:F4"/>
    <mergeCell ref="B5:F5"/>
    <mergeCell ref="B10:C10"/>
    <mergeCell ref="D10:E10"/>
    <mergeCell ref="B11:C11"/>
    <mergeCell ref="D11:E11"/>
    <mergeCell ref="B6:F6"/>
    <mergeCell ref="A7:G7"/>
    <mergeCell ref="B8:C8"/>
    <mergeCell ref="D8:E8"/>
    <mergeCell ref="B9:C9"/>
    <mergeCell ref="D9: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PLAN DE ACCIÓN (2)</vt:lpstr>
      <vt:lpstr>Hoja1</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LUZ ALCIRA ORTEGA</cp:lastModifiedBy>
  <cp:revision/>
  <dcterms:created xsi:type="dcterms:W3CDTF">2022-12-26T20:23:47Z</dcterms:created>
  <dcterms:modified xsi:type="dcterms:W3CDTF">2024-01-31T04:08:45Z</dcterms:modified>
  <cp:category/>
  <cp:contentStatus/>
</cp:coreProperties>
</file>