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IPCC\Documents\IDER\2021\Enero\Ley1712\Planeación\"/>
    </mc:Choice>
  </mc:AlternateContent>
  <bookViews>
    <workbookView xWindow="0" yWindow="0" windowWidth="20400" windowHeight="7350" firstSheet="1" activeTab="1"/>
  </bookViews>
  <sheets>
    <sheet name="Gráfico1" sheetId="5" state="hidden" r:id="rId1"/>
    <sheet name="FORMATO NUEVO IDER 2020 " sheetId="3" r:id="rId2"/>
  </sheets>
  <definedNames>
    <definedName name="_xlnm._FilterDatabase" localSheetId="1" hidden="1">'FORMATO NUEVO IDER 2020 '!$A$4:$BA$53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3" l="1"/>
  <c r="AO53" i="3" l="1"/>
  <c r="AN54" i="3" s="1"/>
  <c r="AN53" i="3"/>
  <c r="R7" i="3"/>
  <c r="Q47" i="3"/>
  <c r="Q32" i="3"/>
  <c r="R25" i="3" s="1"/>
  <c r="Q23" i="3"/>
  <c r="AA40" i="3"/>
  <c r="AA39" i="3"/>
  <c r="AA25" i="3"/>
  <c r="AE5" i="3" l="1"/>
  <c r="AE52" i="3"/>
  <c r="AE48" i="3"/>
  <c r="AE45" i="3"/>
  <c r="AE43" i="3"/>
  <c r="AE42" i="3"/>
  <c r="AE41" i="3"/>
  <c r="AE38" i="3"/>
  <c r="AE37" i="3"/>
  <c r="AE17" i="3"/>
  <c r="AE15" i="3"/>
  <c r="AE14" i="3"/>
  <c r="AE12" i="3"/>
  <c r="AE11" i="3"/>
  <c r="AE9" i="3"/>
  <c r="AE7" i="3"/>
  <c r="AA47" i="3"/>
  <c r="AE47" i="3" s="1"/>
  <c r="AE40" i="3"/>
  <c r="AE39" i="3"/>
  <c r="AA32" i="3"/>
  <c r="AE25" i="3" s="1"/>
  <c r="AE24" i="3"/>
  <c r="AA23" i="3"/>
  <c r="AE23" i="3" s="1"/>
  <c r="T52" i="3"/>
  <c r="T48" i="3"/>
  <c r="T45" i="3"/>
  <c r="T43" i="3"/>
  <c r="T42" i="3"/>
  <c r="T41" i="3"/>
  <c r="T38" i="3"/>
  <c r="T37" i="3"/>
  <c r="T17" i="3"/>
  <c r="T15" i="3"/>
  <c r="T14" i="3"/>
  <c r="T12" i="3"/>
  <c r="T11" i="3"/>
  <c r="T9" i="3"/>
  <c r="T7" i="3"/>
  <c r="T5" i="3"/>
  <c r="T44" i="3"/>
  <c r="R52" i="3"/>
  <c r="R48" i="3"/>
  <c r="R45" i="3"/>
  <c r="R41" i="3"/>
  <c r="R38" i="3"/>
  <c r="R37" i="3"/>
  <c r="R17" i="3"/>
  <c r="R15" i="3"/>
  <c r="R11" i="3"/>
  <c r="R9" i="3"/>
  <c r="T47" i="3"/>
  <c r="R40" i="3"/>
  <c r="T39" i="3"/>
  <c r="T24" i="3"/>
  <c r="T23" i="3"/>
  <c r="R47" i="3" l="1"/>
  <c r="AE53" i="3"/>
  <c r="T25" i="3"/>
  <c r="S15" i="3"/>
  <c r="T40" i="3"/>
  <c r="S25" i="3"/>
  <c r="R23" i="3"/>
  <c r="S19" i="3" s="1"/>
  <c r="R39" i="3"/>
  <c r="S39" i="3" s="1"/>
  <c r="S43" i="3"/>
  <c r="S11" i="3"/>
  <c r="S5" i="3"/>
  <c r="S53" i="3" l="1"/>
  <c r="P52" i="3" l="1"/>
  <c r="P48" i="3"/>
  <c r="P47" i="3"/>
  <c r="P45" i="3"/>
  <c r="P43" i="3"/>
  <c r="N48" i="3"/>
  <c r="N47" i="3"/>
  <c r="N45" i="3"/>
  <c r="P42" i="3"/>
  <c r="P41" i="3"/>
  <c r="N41" i="3"/>
  <c r="P40" i="3"/>
  <c r="P39" i="3"/>
  <c r="N42" i="3"/>
  <c r="N40" i="3"/>
  <c r="N39" i="3"/>
  <c r="P38" i="3"/>
  <c r="P37" i="3"/>
  <c r="N37" i="3"/>
  <c r="P25" i="3"/>
  <c r="N25" i="3"/>
  <c r="P24" i="3"/>
  <c r="M19" i="3"/>
  <c r="N19" i="3" s="1"/>
  <c r="P23" i="3"/>
  <c r="N24" i="3"/>
  <c r="N23" i="3"/>
  <c r="P17" i="3"/>
  <c r="N17" i="3"/>
  <c r="P15" i="3"/>
  <c r="N15" i="3"/>
  <c r="N14" i="3"/>
  <c r="P13" i="3"/>
  <c r="AD13" i="3" s="1"/>
  <c r="N13" i="3"/>
  <c r="P12" i="3"/>
  <c r="N12" i="3"/>
  <c r="P11" i="3"/>
  <c r="N11" i="3"/>
  <c r="N9" i="3"/>
  <c r="P7" i="3"/>
  <c r="N7" i="3"/>
  <c r="P5" i="3"/>
  <c r="O39" i="3" l="1"/>
  <c r="O5" i="3"/>
  <c r="O15" i="3"/>
  <c r="O11" i="3"/>
  <c r="P19" i="3"/>
  <c r="O19" i="3"/>
  <c r="AL32" i="3"/>
  <c r="Z19" i="3"/>
  <c r="AA19" i="3" s="1"/>
  <c r="AD43" i="3"/>
  <c r="P44" i="3"/>
  <c r="AD44" i="3" s="1"/>
  <c r="AD25" i="3"/>
  <c r="AD48" i="3"/>
  <c r="N52" i="3"/>
  <c r="AD52" i="3" s="1"/>
  <c r="AD47" i="3"/>
  <c r="N38" i="3"/>
  <c r="O25" i="3" s="1"/>
  <c r="AD24" i="3"/>
  <c r="AI24" i="3"/>
  <c r="AI23" i="3"/>
  <c r="AI22" i="3"/>
  <c r="O43" i="3" l="1"/>
  <c r="AI44" i="3" l="1"/>
  <c r="AM43" i="3"/>
  <c r="AM45" i="3"/>
  <c r="AL45" i="3"/>
  <c r="AI45" i="3" s="1"/>
  <c r="AL43" i="3"/>
  <c r="AI43" i="3" s="1"/>
  <c r="AM42" i="3"/>
  <c r="AM41" i="3"/>
  <c r="AL40" i="3"/>
  <c r="AL39" i="3"/>
  <c r="AI42" i="3"/>
  <c r="AL42" i="3" s="1"/>
  <c r="AI41" i="3"/>
  <c r="AL41" i="3" s="1"/>
  <c r="AD42" i="3" l="1"/>
  <c r="AL22" i="3"/>
  <c r="AM24" i="3"/>
  <c r="AM23" i="3"/>
  <c r="AM22" i="3"/>
  <c r="AL24" i="3"/>
  <c r="AL23" i="3"/>
  <c r="AI33" i="3" l="1"/>
  <c r="AI34" i="3"/>
  <c r="AI32" i="3"/>
  <c r="F33" i="3"/>
  <c r="F32" i="3"/>
  <c r="AD37" i="3"/>
  <c r="AD38" i="3"/>
  <c r="AL29" i="3" l="1"/>
  <c r="AL30" i="3"/>
  <c r="AL31" i="3"/>
  <c r="AL28" i="3"/>
  <c r="AL26" i="3" l="1"/>
  <c r="AL27" i="3"/>
  <c r="AI25" i="3"/>
  <c r="AL25" i="3" s="1"/>
  <c r="AM13" i="3" l="1"/>
  <c r="AL13" i="3"/>
  <c r="AM11" i="3"/>
  <c r="AL11" i="3"/>
  <c r="P14" i="3"/>
  <c r="AD14" i="3" s="1"/>
  <c r="AD12" i="3"/>
  <c r="AD11" i="3"/>
  <c r="AL17" i="3" l="1"/>
  <c r="AL15" i="3"/>
  <c r="AM17" i="3"/>
  <c r="AM15" i="3"/>
  <c r="AD15" i="3"/>
  <c r="AD7" i="3" l="1"/>
  <c r="AD5" i="3"/>
  <c r="AM8" i="3" l="1"/>
  <c r="AM7" i="3"/>
  <c r="AM5" i="3"/>
  <c r="AI8" i="3"/>
  <c r="AI7" i="3"/>
  <c r="AI6" i="3"/>
  <c r="AI5" i="3"/>
  <c r="AL6" i="3" l="1"/>
  <c r="AL5" i="3"/>
  <c r="F34" i="3" l="1"/>
  <c r="F52" i="3" l="1"/>
  <c r="F51" i="3"/>
  <c r="F50" i="3"/>
  <c r="F49" i="3"/>
  <c r="F48" i="3"/>
  <c r="F46" i="3"/>
  <c r="F47" i="3"/>
  <c r="AD45" i="3"/>
  <c r="F45" i="3"/>
  <c r="F44" i="3"/>
  <c r="F43" i="3"/>
  <c r="F37" i="3" l="1"/>
  <c r="F30" i="3"/>
  <c r="F26" i="3"/>
  <c r="F38" i="3"/>
  <c r="F36" i="3"/>
  <c r="F29" i="3"/>
  <c r="F31" i="3"/>
  <c r="F21" i="3"/>
  <c r="F18" i="3"/>
  <c r="F10" i="3" l="1"/>
  <c r="AD40" i="3" l="1"/>
  <c r="AD41" i="3"/>
  <c r="AD39" i="3"/>
  <c r="AD23" i="3"/>
  <c r="AD17" i="3"/>
  <c r="P9" i="3"/>
  <c r="AD9" i="3" s="1"/>
  <c r="AD19" i="3"/>
  <c r="F35" i="3" l="1"/>
  <c r="F11" i="3" l="1"/>
  <c r="F42" i="3"/>
  <c r="F40" i="3"/>
  <c r="F39" i="3"/>
  <c r="F28" i="3"/>
  <c r="F27" i="3"/>
  <c r="F25" i="3"/>
  <c r="F20" i="3"/>
  <c r="F19" i="3"/>
  <c r="F24" i="3"/>
  <c r="F23" i="3"/>
  <c r="F22" i="3"/>
  <c r="F17" i="3"/>
  <c r="F16" i="3"/>
  <c r="F15" i="3"/>
  <c r="F14" i="3"/>
  <c r="F13" i="3"/>
  <c r="F12" i="3"/>
  <c r="F9" i="3"/>
  <c r="F8" i="3"/>
  <c r="F7" i="3"/>
  <c r="F6" i="3"/>
  <c r="F5" i="3"/>
</calcChain>
</file>

<file path=xl/comments1.xml><?xml version="1.0" encoding="utf-8"?>
<comments xmlns="http://schemas.openxmlformats.org/spreadsheetml/2006/main">
  <authors>
    <author>Usuario</author>
  </authors>
  <commentList>
    <comment ref="AD4" authorId="0" shapeId="0">
      <text>
        <r>
          <rPr>
            <b/>
            <sz val="9"/>
            <color indexed="81"/>
            <rFont val="Tahoma"/>
            <family val="2"/>
          </rPr>
          <t>Usuario:</t>
        </r>
        <r>
          <rPr>
            <sz val="9"/>
            <color indexed="81"/>
            <rFont val="Tahoma"/>
            <family val="2"/>
          </rPr>
          <t xml:space="preserve">
Cada entidad de acuerdo a
su planeación definirá el periodo y grado de avance de la
actividad de acuerdo con la programación de reportes y
seguimiento para verificar este cumplimiento
</t>
        </r>
      </text>
    </comment>
    <comment ref="AE4" authorId="0" shapeId="0">
      <text>
        <r>
          <rPr>
            <b/>
            <sz val="9"/>
            <color indexed="81"/>
            <rFont val="Tahoma"/>
            <family val="2"/>
          </rPr>
          <t>Usuario:</t>
        </r>
        <r>
          <rPr>
            <sz val="9"/>
            <color indexed="81"/>
            <rFont val="Tahoma"/>
            <family val="2"/>
          </rPr>
          <t xml:space="preserve">
Cada entidad de acuerdo a
su planeación definirá el periodo y grado de avance de la
actividad de acuerdo con la programación de reportes y
seguimiento para verificar este cumplimiento
</t>
        </r>
      </text>
    </comment>
  </commentList>
</comments>
</file>

<file path=xl/sharedStrings.xml><?xml version="1.0" encoding="utf-8"?>
<sst xmlns="http://schemas.openxmlformats.org/spreadsheetml/2006/main" count="913" uniqueCount="293">
  <si>
    <t>PROGRAMACIÓN META A 2020</t>
  </si>
  <si>
    <t>PROYECTO</t>
  </si>
  <si>
    <t>Objetivo del proyecto</t>
  </si>
  <si>
    <t>ACTIVIDADES DE PROYECTO</t>
  </si>
  <si>
    <t>Valor Absoluto de la Actividad del  Proyecto 2020-2023</t>
  </si>
  <si>
    <t xml:space="preserve">Fecha de inicio </t>
  </si>
  <si>
    <t xml:space="preserve">Fecha de Terminación </t>
  </si>
  <si>
    <t xml:space="preserve">DEPENDENCIA RESPONSABLE </t>
  </si>
  <si>
    <t>NOMBRE DEL RESPONSABLE</t>
  </si>
  <si>
    <t>Fuente de Financiación</t>
  </si>
  <si>
    <t>Apropiación Definitiva
(en pesos)</t>
  </si>
  <si>
    <t>Rubro Presupuestal</t>
  </si>
  <si>
    <t>Código Presupuestal</t>
  </si>
  <si>
    <t>Disminuir el riesgo de enfermedades crónicas no transmisibles en la comunidad cartagenera</t>
  </si>
  <si>
    <t>02-097-06-20-02-04-04-01</t>
  </si>
  <si>
    <t>PILAR</t>
  </si>
  <si>
    <t>LINEA ESTRATEGICA</t>
  </si>
  <si>
    <t>Indicador de Bienestar</t>
  </si>
  <si>
    <t>Línea Base 2019</t>
  </si>
  <si>
    <t>Meta de Bienestar 2020-2023</t>
  </si>
  <si>
    <t xml:space="preserve">PROGRAMA </t>
  </si>
  <si>
    <t>Indicador de Producto</t>
  </si>
  <si>
    <t>Descripción de la Meta Producto 2020-2023</t>
  </si>
  <si>
    <t>Valor Absoluto de la Meta Producto 2020-2023</t>
  </si>
  <si>
    <t>Porcentaje de la población cartagenera vinculada a la actividad física y eventos recreativos.</t>
  </si>
  <si>
    <t>Número de participantes vinculados a la actividad física.</t>
  </si>
  <si>
    <t xml:space="preserve">Mejoramiento de los estilos de vida mediante la promoción masiva de una vida activa de la ciudadanía en el Distirto de Cartagena </t>
  </si>
  <si>
    <t>Código de proyecto BPIN</t>
  </si>
  <si>
    <t>Aumentar la concientización sobre la práctica regular de actividad física en los entornos cotidianos</t>
  </si>
  <si>
    <t>Transformación de hábitos para la generación de Entornos saludables en el Distrito de Cartagena de Indias</t>
  </si>
  <si>
    <t>Ingresos Corrientes de Libre Destinación</t>
  </si>
  <si>
    <t>02-001-06-20-02-04-04-01</t>
  </si>
  <si>
    <t>Número de Niños, niñas y adolescentes inscritos en la Escuela de Iniciación y Formación Deportiva</t>
  </si>
  <si>
    <t xml:space="preserve">Desarrollo de la Escuela de Iniciaciòn  y Formaciòn Deportiva por nùcleos y enfasis  en la ciudad de Cartagena de Indias </t>
  </si>
  <si>
    <t>Desarrollar de forma continua el proceso de aprendizaje deportivo en los niños, niñas y adolescentes en Cartagena de Indias</t>
  </si>
  <si>
    <t>Consolidación del sistema Deportivo Distrital mediante una estrategia de estímulos y/o apoyos a las organizaciones deportivas y deportistas de altos logros</t>
  </si>
  <si>
    <t>Consolidar el Sistema de Deporte Competitivo y Asociado del Distrito de Cartagena de Indias.</t>
  </si>
  <si>
    <t xml:space="preserve">Número de semilleros de investigación </t>
  </si>
  <si>
    <t xml:space="preserve">Incremetar la producción de conocimiento científico del sector deportivo y recreativo en el Distrito Cartagena de Indias. </t>
  </si>
  <si>
    <t xml:space="preserve">Número de participantes en los torneos del deporte estudiantil </t>
  </si>
  <si>
    <t>Fortalecimiento del Deporte Estudiantil mediante la implementación de los Juegos Intercolegiados y Universitarios en el Distrito de Cartagena de Indias.</t>
  </si>
  <si>
    <t>Incrementar la participación de las instituciones educativas en el desarrollo de competencias deportivas estudiantiles en el Distrito de Cartagena de Indias</t>
  </si>
  <si>
    <t>Implemetanción del programa nacional "Campamentos Juveniles" en el Distrito de Cartagena de Indias.</t>
  </si>
  <si>
    <t>Porcentaje de la población cartagenera que hace uso y disfrute de los escenarios deportivos y recreativos</t>
  </si>
  <si>
    <t>Conservación, mantenimiento y mejoramiento de los escenarios deportivos de la ciudad como estrategia de preservación del patrimonio material del Distrito de Cartagena de Indias</t>
  </si>
  <si>
    <t>Preservar los escenarios deportivos en el distrito de Cartagena de Indias</t>
  </si>
  <si>
    <t>Número de permisos autorizados para el uso temporal y/o permanente de los escenarios deportivos.</t>
  </si>
  <si>
    <t>INCLUYENTE</t>
  </si>
  <si>
    <t xml:space="preserve">DEPORTE Y RECREACIÓN CON INCLUISIÓN SOCIAL PARA LA TRASNFORMACIÓN SOCIAL </t>
  </si>
  <si>
    <t>LA ESCUELA Y EL DEPORTE SON DE TODOS</t>
  </si>
  <si>
    <t>Porcentaje de la población cartagenera vinculadas a las actividades y eventos deportivos, pre deportivos y paralímpicos.</t>
  </si>
  <si>
    <t>Se incrementará a 5.400 niñas, niños, adolescentes inscritos en los diversos niveles de iniciación y formación</t>
  </si>
  <si>
    <t xml:space="preserve">Se incrementarán a 54 los núcleos para masificar la práctica del deporte en las comunidades del Distrito de Cartagena de Indias </t>
  </si>
  <si>
    <t xml:space="preserve">Número de núcleos de Escuela de Iniciación y Formación Deportivo creados </t>
  </si>
  <si>
    <t xml:space="preserve">Se mantendrán en 10.176 los participantes en los diferentes torneos de las instituciones educativas y las universidades </t>
  </si>
  <si>
    <t>DEPORTE ASOCIADO “INCENTIVOS CON-SENTIDO”</t>
  </si>
  <si>
    <t>Se otorgarán 400 estímulos y/o apoyos a las ligas, clubes, federaciones y otras organizaciones deportivas</t>
  </si>
  <si>
    <t>Número de estímulos y/o apoyos otorgados a ligas, clubes, federaciones y otras organizaciones deportivas</t>
  </si>
  <si>
    <t>Se impactarán 4.000 personas con los estímulos y/o apoyos otorgados a las ligas, clubes, federaciones y otras organizaciones deportivas</t>
  </si>
  <si>
    <t>Número de personas impactadas de los estímulos y/o apoyos otorgados a ligas, clubes, federaciones y otras organizaciones deportivas</t>
  </si>
  <si>
    <t>Se otorgarán estímulos y/o apoyos a 144 atletas de altos logros, futuras estrellas y viejas glorias del deporte convencional y paralímpico</t>
  </si>
  <si>
    <t>Número de estímulos y/o apoyos otorgados a deportistas de altos logros, futuras estrellas y Viejas Glorias del Deporte convencional y paralímpico</t>
  </si>
  <si>
    <t>Se apoyarán 20 eventos deportivos de carácter regional,  nacional e internacional a realizarse en el Distrito de Cartagena de Indias</t>
  </si>
  <si>
    <t xml:space="preserve">Número de eventos de carácter regional, nacional e internacional realizados y/o apoyados </t>
  </si>
  <si>
    <t>DEPORTE SOCIAL COMUNITARIO CON INCLUSIÓN “CARTAGENA INCLUYENTE”</t>
  </si>
  <si>
    <t>Se incrementarán a 120.000 los participantes en el desarrollo de eventos o torneos de deporte social comunitario con inclusión</t>
  </si>
  <si>
    <t xml:space="preserve">Número de participantes en los eventos o torneos de deporte social comunitario con inclusión </t>
  </si>
  <si>
    <t>Se realizarán 15 eventos o torneos de deporte social comunitario con inclusión dirigidos a la comunidad</t>
  </si>
  <si>
    <t>Número de eventos o torneos de deporte social comunitario con inclusión realizados y/o apoyados</t>
  </si>
  <si>
    <t xml:space="preserve">OBSERVATORIO DE CIENCIAS APLICADAS AL DEPORTE, LA RECREACIÓN, LA ACTIVIDAD FÍSICA Y EL APROVECHAMIENTO DEL TIEMPO LIBRE EN EL DISTRITO DE CARTAGENA DE INDIAS </t>
  </si>
  <si>
    <t>Se publicarán 4 documentos históricos y científicos sobre el deporte, la recreación, la actividad física y el aprovechamiento del tiempo libre en el Distrito de Cartagena de Indias</t>
  </si>
  <si>
    <t>Número de documentos elaborados y publicados</t>
  </si>
  <si>
    <t>Se incrementará a 16.720 personas con apropiación social de conocimiento</t>
  </si>
  <si>
    <t>Número de personas con apropiación social de conocimiento.</t>
  </si>
  <si>
    <t>Se caracterizarán 10 piezas con todos los documentos e investigaciones científicas existentes de memoria histórica del deporte</t>
  </si>
  <si>
    <t xml:space="preserve">Número de piezas de Memoria Histórica del Deporte Cartagenero caracterizadas </t>
  </si>
  <si>
    <t>Se conformará y organizará 1 semillero de investigación científica deportiva</t>
  </si>
  <si>
    <t>Se realizarán 10 convenios institucionales para la generación y apropiación social del conocimiento</t>
  </si>
  <si>
    <t>Número de alianzas y convenios para la generación y apropiación social del conocimiento</t>
  </si>
  <si>
    <t xml:space="preserve">PROGRAMA HÁBITOS Y ESTILOS DE VIDA SALUDABLE </t>
  </si>
  <si>
    <t>Se incrementarán a 14.131 los participantes vinculados a la actividad física.</t>
  </si>
  <si>
    <t>Se incrementarán a 19.448 los asistentes a los eventos de hábitos y estilos de vida saludable dirigidos a todas las edades</t>
  </si>
  <si>
    <t xml:space="preserve">Número de asistentes a los eventos de hábitos y estilos de vida saludable de carácter local, nacional e internacional realizados y/o apoyados </t>
  </si>
  <si>
    <t xml:space="preserve">Se realizarán 18 eventos de hábitos y estilos de vida saludable dirigidos a todas las edades </t>
  </si>
  <si>
    <t xml:space="preserve">Número de eventos de hábitos y estilos de vida saludable de carácter local, nacional e internacional realizados y/o apoyados </t>
  </si>
  <si>
    <t xml:space="preserve">PROGRAMA RECREACIÓN COMUNITARIA “RECRÉATE CARTAGENA” </t>
  </si>
  <si>
    <t>Se atenderán a 24.984 participantes de las actividades recreativas en el Distrito de Cartagena de Indias.</t>
  </si>
  <si>
    <t xml:space="preserve">Número de participantes en las actividades de recreación comunitaria </t>
  </si>
  <si>
    <t>Se incrementarán a 22.999 los asistentes a los eventos de recreación comunitaria dirigidos a todas las edades</t>
  </si>
  <si>
    <t>Número de asistentes a los eventos de recreación de carácter local, nacional e internacional realizados y/o apoyados</t>
  </si>
  <si>
    <t xml:space="preserve">Se realizarán 17 eventos de recreación comunitaria dirigidos a todas las edades </t>
  </si>
  <si>
    <t xml:space="preserve">Número de eventos de recreación de carácter local, nacional e internacional realizados y/o apoyados </t>
  </si>
  <si>
    <t xml:space="preserve">ADMINISTRACIÓN, MANTENIMIENTO, ADECUACIÓN, MEJORAMIENTO Y CONSTRUCCIÓN DE ESCENARIOS DEPORTIVOS  </t>
  </si>
  <si>
    <t>Se autorizarán 2.400 permisos para el uso temporal y/o permanente de los escenarios deportivos.</t>
  </si>
  <si>
    <t>Se impactarán a 209.842 personas en el uso y disfrute de los escenarios deportivos y recreativos</t>
  </si>
  <si>
    <t>Número de personas que hace uso y disfrute de los escenarios deportivos y recreativos</t>
  </si>
  <si>
    <t xml:space="preserve">Se incrementará a 110 los escenarios deportivos mantenidos, adecuados, y/o mejorados en el distrito de Cartagena de Indias  </t>
  </si>
  <si>
    <t xml:space="preserve">Número de escenarios deportivos mantenidos, adecuados, y/o mejorados en el distrito de Cartagena de Indias  </t>
  </si>
  <si>
    <t xml:space="preserve">Se desarrollará la construcción de 10 escenarios deportivos en el Distrito de Cartagena de Indias </t>
  </si>
  <si>
    <t xml:space="preserve">Número de escenarios deportivos construidos  </t>
  </si>
  <si>
    <t xml:space="preserve">1 de julio de 2020 </t>
  </si>
  <si>
    <t xml:space="preserve">Deportes </t>
  </si>
  <si>
    <t>Realizar campañas de socialización y difusión de la estrategia "juegos intercolegiados" con las Instituciones Educativas 
Desarrollar jornadas de inscripción de las Instituciones Educativas en los juegos intercolegiados
Acompañar el proceso de socialización y desarrollo de los juegos interuniversitarios 
Divulgar las acciones y actividades desarrolladas en el proyecto
Divulgar el calendario deportivo distrital de los juegos intercolegiados
Programar las competencias deportivas de los juegos intercolegiados del distrito
Realizar las competencias deportivas de los juegos intercolegiados del distrito
Acompañar el desarrollo de las competencias de los juegos interuniversitarios 
Entregar la premiación a los ganadores de las competencias deportivas distritales
Patrocinar participación de equipos campeones en competencias departamentales</t>
  </si>
  <si>
    <t>02-097-06-20-02-04-01-02</t>
  </si>
  <si>
    <t>ICAT (3 %)</t>
  </si>
  <si>
    <t>Arrendamiento Escenarios Deportivos</t>
  </si>
  <si>
    <t xml:space="preserve">Gustavo  González </t>
  </si>
  <si>
    <t>02-059-06-20-02-04-02-01</t>
  </si>
  <si>
    <t>Promoción del deporte social comunitario  en tiempo de pandemia en la ciudad Cartagena de Indias</t>
  </si>
  <si>
    <t xml:space="preserve">por asignar </t>
  </si>
  <si>
    <t>Aumentar de la realización de actividades deportivas, predeportivas y recreativas en las comunidades de la ciudad de Cartagena</t>
  </si>
  <si>
    <t xml:space="preserve">Convocatoria e inscripción de familias a la estrategia "Familia Corregimental Activa con el IDER” 
Desarrollo de la metodología pedagogica a traves de herramientas audivisuales 
Adquisición y entrega de planes de internet para las familias inscritas
Desarrollo de la estrategia "Familia Corregimental Activa con el IDER”
Divulgar las acciones del proyecto  </t>
  </si>
  <si>
    <t xml:space="preserve">31 diciembre de 2020 </t>
  </si>
  <si>
    <t xml:space="preserve">1 de octubre  de 2020 </t>
  </si>
  <si>
    <t>Convocatoria e inscripción de familias a la estrategia "Familia Corregimental Activa con el IDER”
Adquisición y disponer las salas virtuales - aulas 
 Desarrollo de la metodología pedagogica a traves de herramientas audivisuales 
Desarrollo de la estrategia "Todos a aprender de deporte”</t>
  </si>
  <si>
    <t>Aplicación de la Ciencia, la Tecnología y la Innovación (CTeI) en el sector deporte en el distrito de Cartagena de Indias</t>
  </si>
  <si>
    <t>1 de julio de 2020</t>
  </si>
  <si>
    <t>02-001-06-20-02-04-07-01</t>
  </si>
  <si>
    <t>02-097-06-20-02-04-07-01</t>
  </si>
  <si>
    <t>02-027-06-20-02-04-07-01</t>
  </si>
  <si>
    <t>02-001-06-20-02-04-06-01</t>
  </si>
  <si>
    <t xml:space="preserve">Divulgación, Apropiación de conocimiento y participación ciudadana en el sector deporte, del Distrito de Cartagena de Indias  </t>
  </si>
  <si>
    <t>02-001-06-20-02-04-06-02</t>
  </si>
  <si>
    <t>Recopilación de la memoria histórica del deporte cartagenero y bolivarense.</t>
  </si>
  <si>
    <t>Espectáculos Públicos IDER</t>
  </si>
  <si>
    <t>Rendimientos Financieros IDER</t>
  </si>
  <si>
    <t xml:space="preserve"> Venta de Servicios - IDER </t>
  </si>
  <si>
    <t>02-001-06-20-02-04-06-03</t>
  </si>
  <si>
    <t xml:space="preserve">Observatorio </t>
  </si>
  <si>
    <t xml:space="preserve">Jose Guillermo Torres </t>
  </si>
  <si>
    <t xml:space="preserve">Recreación </t>
  </si>
  <si>
    <t xml:space="preserve">Alberto Osorio </t>
  </si>
  <si>
    <t xml:space="preserve">Infraestructura 
Administrativa y Fianciera </t>
  </si>
  <si>
    <t xml:space="preserve">Ismael Sanchez 
Jose Victor Herrera </t>
  </si>
  <si>
    <t xml:space="preserve">31 de diciembre de 2023 </t>
  </si>
  <si>
    <t>31 de diciembre de 2023</t>
  </si>
  <si>
    <t>SGP Propósito General - Deporte</t>
  </si>
  <si>
    <t>02-059-06-20-02-04-04-01</t>
  </si>
  <si>
    <t>02-027-06-20-02-04-04-01</t>
  </si>
  <si>
    <t xml:space="preserve">Aprovechamiento del espacio público para la realización de Eventos Recreativos que permitan la cohesión comunitaria. </t>
  </si>
  <si>
    <t>Aumentar la habilitación de espacios públicos para el desarrollo de actividades de recreación en el Distrito de Cartagena de Indias</t>
  </si>
  <si>
    <t xml:space="preserve">Rendimientos Financieros icat 3% </t>
  </si>
  <si>
    <t>Implementación de la estrategia "Escuela Recreativa" para fortalecer las capacidades emocionales y motrices de la primera infancia.</t>
  </si>
  <si>
    <t>Implementar estrategias de desarrollo integral desde la recreación dirigidas a los adolescentes y jóvenes en el Distrito de Cartagena de Indias</t>
  </si>
  <si>
    <t xml:space="preserve">Recreación para todos, como mecanismo para la cohesión comunitaria mediante el aprovechamiento y uso del tiempo libre. </t>
  </si>
  <si>
    <t>REPORTE META PRODUCTO JULIO-SEPTIEMBRE   2020</t>
  </si>
  <si>
    <t>FORMATO PLAN DE ACCIÓN
DEPENDENCIA: INSTITUTO DISTRITAL DE  DEPORTE Y RECREACIÓN -IDER 
VIGENCIA AÑO 2020</t>
  </si>
  <si>
    <t>Realizar capacitaciones a las madres comunitarias y agentes educativas en talleres de elaboración de juguetes y juegos, Asesorar en competencias dirigidas a las madres comunitarias y agentes educativas a través de asesoría de hábitos y estilos de vida saludable, Desarrollar Talleres a padres de familias o cuidadores sobre temas nutricionales y pautas de crianza amorosa,Adelantar las campañas (cuentos que no son cuentos), caminata por la lactancia materna, promoción semana de la salud en la primera infancia, Desarrollar la sesión lúdica permanente a la población de primera infancia con actividades rectoras, Realizar Carnavales Lúdicos, Ejecutar un encuentro actívate gestante a través de estimulación materno-infantil, Desarrollar talleres sobre el cuidado, hábitos de vida saludable y estimulación temprana, Divulgar las acciones y actividades desarrolladas en el proyecto</t>
  </si>
  <si>
    <t>Implementar acciones para el desarrollo de las habilidades y destrezas psicomotrices y sociales de los niños de menores de seis años en la zona rural del Distrito de Cartagena de Indias</t>
  </si>
  <si>
    <t>Desarrollar jornadas de sensibilización a organizaciones públicas y privadas, Realizar valoración y seguimiento a organizaciones públicas y privadas, Desarrollar jornadas de sensibilización a centros penitenciarios y carcelarios, Realizar valoración y seguimiento a centros penitenciarios y carcelarios, Desarrollar jornadas de sensibilización a centros de vida y/o grupos organizados de personas mayores, Realizar valoración y seguimiento a centros de vida y/o grupos organizados de personas mayores, Asesorar a organizaciones públicas y privadas, Ejecutar jornadas recreo-deportivas en organizaciones públicas y privadas, Realizar charlas a centros penitenciarios y carcelarios, Asesorar a los centros de vida y/o grupos organizados de personas mayores, Ejecutar jornadas recreo-deportivas en centros de vida y/o grupos organizados de personas mayores, Divulgar las acciones y actividades desarrolladas en el proyecto, Realizar campañas de los días de concientización de la salud, Acondicionar el espacio físico para el desarrollo de actividad física en el Centro de Acondicionamiento Físico - CAF</t>
  </si>
  <si>
    <t>Realizar evaluación y diagnóstico de enfoques (caminantes, madrúgale, noches y joven),Programar la intervención territorial y comunitaria, Diseñar e implementar los protocolos de intervención territorial y comunitaria, Desarrollar las acciones de la estrategia "Madrúgale a la Salud",Desarrollar las acciones de la estrategia "Caminante Saludable", Desarrollar las acciones de la estrategia "Noches Saludables", Desarrollar las acciones de la estrategia "Joven Saludable", Diseñar e implementar el semillero de actividad física, Desarrollar eventos de concentración,Desarrollar eventos de promoción, Planear la realización de eventos de ciudad, Desarrollar eventos de ciudad, Diseñar e implementar un plan de capacitación sobre actividad física, Divulgar las acciones de las estrategias y eventos realizadas.</t>
  </si>
  <si>
    <t>Desarrollar el módulo estratégico de proyecto de vida ,Ejecutar actividades con escuela para padres sobre hábitos de buena crianza,Convocatoria, socialización e inscripción a los bosques establecidos , Desarrollo del programa y la totalidad de los ejes temáticos de campamentos juveniles , Planear y realizar los campamentos distritales, Participar en los campamentos departamentales, Participar en los campamentos nacionales, Generar capacidades o habilidades de conocimiento para el servicio social , Elaboración de proyectos para la implementación en las comunidades, Divulgar las acciones y actividades desarrolladas en el proyecto.</t>
  </si>
  <si>
    <t>Realizar la estrategia "vías recreativas en tu barrio", Ejecutar la estrategia Playas recreativas, Realizar las Vías Activas y Saludables - VAS, Participar en los comités de espacio público,Generar una mesa del aprovechamiento del espacio público para la recreación, Participar en el comité probici, Planear y realizar Eventos Recreativos con impacto de ciudad, Realizar ciclopaseos urbanos y rurales, Divulgar las acciones y actividades desarrolladas en el proyecto.</t>
  </si>
  <si>
    <t xml:space="preserve">Crear la red de conocimiento científico del sector deporte, Generar alianzas para la producción de conocimiento científico sobre el sector deporte,Crear el semillero de investigación sobre el sector deporte, Producir artículos científico - histórico asociados al sector deporte, Publicar artículos científico - histórico asociados al sector deporte, Divulgar las acciones y actividades desarrolladas en el proyecto, Desarrollar encuentros científicos </t>
  </si>
  <si>
    <t>Generar alianzas con el SENA para fortalecer la formación técnica y tecnológa, Generar alianzas con Instituciones de Educación Superior para la formación profesional a través de la consecución de becas, Promover la participación en seminarios sobre el sector deporte a nivel local, regional, nacional e internacional, Realizar ciclo de conferencias, charlas, cursos complementarios, encuentros ciudadanos, Fomentar la participación ciudadana en espacios de intercambio de conocimiento del sector deporte, Divulgar las acciones y actividades desarrolladas en el proyecto.</t>
  </si>
  <si>
    <t>Realizar diagnóstico y valoración inicial de la trayectoria del sector deporte, Diseñar protocolo de identificación del patrimonio deportivo en Cartagena y Bolívar, Implementar el protocolo de identificación para la caracterización del patrimonio deportivo en Cartagena y Bolívar, Adoptar el método y lugar de conservación y preservación del acervo deportivo, Instalar la composición de las piezas de memoria del acervo deportivo, Crear muestra piloto de museo itinerante , Desarrollar coloquios alrededor de las piezas de memoria del acervo deportivo, Divulgar las acciones y actividades desarrolladas en el proyecto-</t>
  </si>
  <si>
    <t>Aumentar la interacción social a través de la práctica de la recreación en el tiempo libre</t>
  </si>
  <si>
    <t>Realizar campañas de divulgación asociadas a la recreación, Realizar talleres de técnicas de recreación, Realizar actividades de recreación en los centros de vida y grupos organizados de personas mayores, Realizar actividades de recreación en las Instituciones Educativas, Apoyar el desarrollo de actividades de recreación a nivel distrital, Desarrollar la estrategia "Vacaciones Recreativas", Desarrollar la estrategia "Cartagena es de los niños y niñas", Desarrollar la estrategia "Cartagena es de Todos", Divulgar las acciones y actividades desarrolladas en el proyecto</t>
  </si>
  <si>
    <t>02-005-06-20-02-04-01-02</t>
  </si>
  <si>
    <t xml:space="preserve">Covenios </t>
  </si>
  <si>
    <t>02-059-06-20-02-04-03-01</t>
  </si>
  <si>
    <t>02-124-06-20-02-04-03-01</t>
  </si>
  <si>
    <t>02-027-06-20-02-04-06-01</t>
  </si>
  <si>
    <t>02-024-06-20-02-04-06-01</t>
  </si>
  <si>
    <t>02-135-06-20-02-04-06-01</t>
  </si>
  <si>
    <t>02-005-06-20-02-04-04-01</t>
  </si>
  <si>
    <t>02-001-06-20-02-04-05-03</t>
  </si>
  <si>
    <t>02-005-06-20-02-04-05-02</t>
  </si>
  <si>
    <t>02-024-06-20-02-04-05-02</t>
  </si>
  <si>
    <t>02-059-06-20-02-04-05-03</t>
  </si>
  <si>
    <t>02-059-06-20-02-04-05-04</t>
  </si>
  <si>
    <t>02-001-06-20-02-04-05-02</t>
  </si>
  <si>
    <t>02-059-06-20-02-04-05-05</t>
  </si>
  <si>
    <t xml:space="preserve">Número de Planes Institucionales y estrategicos articulados al Plan de Acción del 2020 del IDER  </t>
  </si>
  <si>
    <t xml:space="preserve">Decreto No. 6120 del 2018 </t>
  </si>
  <si>
    <t xml:space="preserve">Se Integrarán los planes institucionales y estrategicos al Plan de Acción (Decreto No. 612 del 2018 ) </t>
  </si>
  <si>
    <t xml:space="preserve">Articular los planes del Decreto No. 612 del 2018 al Plan de Acción </t>
  </si>
  <si>
    <t xml:space="preserve">Durante este periodo se realizaron dos convocatorias a Organismos deportivos como : 
1 – Primera Convocatoria mediante : Las Resoluciones No. 044 del 13 de marzo de 2020 y 048 del 24 de marzo de 2020 por las cuales se dictan las disposiciones para la “Convocatoria pública para la entrega de apoyos a organismos deportivos que tengan jurisdicción en Cartagena de Indias D.T. y C. – I Semestre de 2020” fueron revocadas por la resolución N°. 062 del 20 de abril de 2020 porque la pandemia covid-19 afecta el desarrollo de las actividades que se pretendían apoyar, tales como: Organización y Participación en Eventos deportivos.  
2- Segunda Convocatoria mediante : Resolución No. 130 del 28  de agosto de 2020  “Mediante la cual se apertura convocatoria pública para la entrega de apoyos a organismos deportivos que tengan jurisdicción en Cartagena de Indias D.T. y C., en tiempos del Coronavirus COVID–19 (II Semestre de 2020)” , la cual beneficiara a 125 organismos deportivos por $1.000 millones de pesos. La cual se modifica a través de 
Resoluion  No. 143  del 11 de septiembre de 2020 “Mediante la cual se modifica parcialmente la Resolución No. 130 del 28 de agosto de 2020” -Que mediante la Resolución No. 130 del 28 de agosto de 2020, se ordenó dar apertura de la “Convocatoria pública para la entrega de apoyos a organismos deportivos que tengan jurisdicción en Cartagena de Indias D.T. y C., en tiempos del Coronavirus COVID–19 (II  semestre de 2020).  Y  el 28 de septiembre se realizó cierre de convocatorio a través de la Resolución No. 160 de septiembre de 2020.
</t>
  </si>
  <si>
    <t>Durante este período no se realizaron eventos de carácter local, nacional e internacional debio a la Pandemia del Coronavirus Covid-19 .</t>
  </si>
  <si>
    <t xml:space="preserve">En el primer trimestre,  se realizo una Caminata en conmemoración  del día Internacional  de la Mujer entre el IDER y la organización Dragón Boat  con salida del barrio Centro y llegada al barrio Manga ( sábado 7 de marzo),  en la cual participaron 172   mujeres. Se realizaron actividades de entrenamiento y práctica del deporte a las personas con discapacidad en las siguientes disciplinas deportivas: paranatación, paratlestismo, softbol, voleibol sentado, fútbol auditivo, ajedrez, Boccia, a través de estas se  beneficiaron  a  210  personas. 
Durante este último trimestre se asistió a las Mesas de EATI -Discapacidad con el fin realizar un proyecto para este eje transversal de Plan de Desarrollo y Plan de Trabajo sobre actividades a realizar en el mes de la discapacidad (diciembre). 
Se llevaron a cabo capacitaciones con el Ministerio del Deporte : Una sobre el tema de Discapacidad  y la otra sobre el Deporte Social y Comunitario .   Se  realizaron videos recreativos  para personas con discapacidad  y se continuaron los entrenamiento deportivos semanales  de forma virtual para deportistas con discapacidad, beneficiando a  210 personas. 
Cabe recalcar que en este tiempo de pandemia hubo la necesidad de reestructurar  y desarrollar los programas desde la virtualidad, dentro del programa de Deporte Social Comunitario con  Inclusión “Cartagena Incluyente “ se desarrollo el proyecto de “Fortalecimiento del Deporte Social Comunitario en tiempo de Pandemia en la ciudad de Cartagena de Indias”, este proyecto tiene dos estrategias :  Familias Activas  y Todos a Aprender Deporte , que llevarán a cabo los meses de cociembre y diciembre. 
Este proyecto fue presentado y aprobado  en Junta Directiva Extraordinaria el día 4 de septiembre del 2020  como consta en el acta  acta No.005 del día 4 de septiembre del 2020, posteriormente se envió a la Secretaria de Planeación para su viabilización.  
</t>
  </si>
  <si>
    <t>Durante este período no se realizaron eventos  ni torneos deportivos debido a la Pandemia del Coronavirus Covid-19 .</t>
  </si>
  <si>
    <t xml:space="preserve">El Instituto Distrital de Deporte y Recreación-IDER , tiene  los doce (12) planes contemplados en el Decreto No.612 de 2018 aprobados mediante Acta No.001 del 24 de enero del 2020 del Comité Institucional de Gestión Y Desempeño (CIGD) , además trimestralmente se realiza su  seguimiento,   los cuales sontres (3) publicados en la página Web  del IDER en el link de Transparencia. 
</t>
  </si>
  <si>
    <t xml:space="preserve">Durante este periodo se realizaron cuarenta y uno (42) capacitaciones de manera presencial y virtual  que beneficiaron a 4.222 personas.
Otros resultados de apropiación del Conocimiento: 
Inicio de Tecnología en Actividad Física con el SENA (50 CUPOS).
Segunda cohorte de Tecnología en Actividad Física con el SENA (50 CUPOS).
Programa Técnico en Juzgamiento Deportivo (50 cupos), este programa técnico inicia en el mes de octubre de 2020.
</t>
  </si>
  <si>
    <t xml:space="preserve">Es importante resaltar en este primer semestre, el proceso que se llevo a cabo para para la construcción y divulgación de la línea estratégica: “Deporte y Recreación para la Transformación Social” en el marco del Plan de Desarrollo Salvemos Juntos a Cartagena 2020 – 2023,  se realizaron  28 mesas de participación ciudadana para la construcción del Plan de Desarrollo Distrital "Salvemos Juntos a Cartagena" 2020 - 2023 con alrededor de 20 funcionarios distribuidos por cada una de las jornadas de las mesas. En estas jornadas se trabajó con alrededor de 840 personas de toda la comunidad cartagenera que asistieron a cada una de las mesas.                                 Se realizaron las siguientes publicaciones realizadas: 
 Memoria Histórica del Deporte en Cartagena y Bolívar.
Carlos Petaca Rodríguez: Un Ídolo del Deporte Cartagenero. 
Bernardo Caraballo Ídolo por Siempre. 
.
El Instituto Distrital de Deporte y Recreación-IDER , tiene  los doce (12) planes contemplados en el Decreto No.612 de 2018 aprobados mediante Acta No.001 del 24 de enero del 2020 del Comité Institucional de Gestión Y Desempeño (CIGD) , además trimestralmente se realiza su  seguimiento,   los cuales son publicados en la página Web  del IDER en el link de Transparencia. 
</t>
  </si>
  <si>
    <t xml:space="preserve">Se espera realizar en el úlimo trimestre de 2020:Una (1) Investigación Histórica de Instituto Distrial de Deporte y Recreación -IDER  </t>
  </si>
  <si>
    <t xml:space="preserve">Se espera realizar en el úlimo trimestre de 2020 : Una (1) Investigación Histórica de Instituto Distrial de Deporte y Recreación -IDER . </t>
  </si>
  <si>
    <t xml:space="preserve">Se espera realizar en el úlimo trimestre de 2020: Una (1) Investigación Histórica de Instituto Distrial de Deporte y Recreación -IDER . </t>
  </si>
  <si>
    <t xml:space="preserve">Se espera realizar en el úlimo trimestre de 2020:Una (1) Investigación Histórica de Instituto Distrial de Deporte y Recreación -IDER.  </t>
  </si>
  <si>
    <t xml:space="preserve">En lo que va corrido de la vigencia 2020 no se realizaron nuevas de escenarios deportivos , se espera  construir  escenarios deportivos para el año 2021. </t>
  </si>
  <si>
    <t xml:space="preserve">Durante este segundo trimestre, se cambió la metodología de intervención institucional (presencial) por una virtual masiva mientras transcurre nuestras restricciones por la pandemia COVID-19. En este período se realizaron 2 eventos de hábitos y estilos de vida saludable que beneficiaron a 15.012 personas a través de Facebook Live y redes sociales.
</t>
  </si>
  <si>
    <t xml:space="preserve">
Durante este segundo trimestre, se cambió la metodología de intervención institucional (presencial) por una virtual masiva mientras transcurre nuestras restricciones por la pandemia COVID-19. En este período se realizaron 2 eventos de hábitos y estilos de vida saludable que beneficiaron a 15.012 personas a través de Facebook Live y redes sociales.
Se trabajan cuatro rutas de Caminante saludable la cuales son : Boulevard de Crespo, Unidad  Deportiva Fidel Mendoza Carrasquilla, Unidad Deportiva el Campestre y Parque Lineal  - Parque Heredia , en los cuales se beneficio a  120  personas aproximadamente. 
 Tenemos 113 puntos de atención de Promoción Masiva de Una Vida Activa como ya mencionamos 4 de Caminante Saludable, noventa y ocho  (98)  puntos entre Noche y Madrúgale a La Salud y once (11) puntos de Joven Saludable.
Se realizaron en este periodo las siguientes actividades:
Treinta (30) Jornadas de sensibilización a organizaciones públicas y privadas 
Una (1)  jornada de sensibilización a centros penitenciarios y carcelarios 
Veintiuna (21) jornadas de sensibilización a centros de vida y/o grupos organizados de personas mayores .
Tres (3) campañas de concientización de Salud. 
Contamos con un convenio del Ministerio del Deporte por valor de $ 86.800.000
</t>
  </si>
  <si>
    <t xml:space="preserve">Para este periodo  semestre se realizaron 176 visitas técnicas y sus diagnósticos técnicos (176)  además se realizaron 90 valorizaciones. Se realizaron a 44 escenarios deportivos entre mayores y menores mantenimiento preventivo, recuperación, conservación ,  presentación y Jornadas  de aseo,  desinfección como medida de  cuidado y prevención ante la pandemia COVID-19. Los escenarios son: Estadio de Béisbol menor “Mono Judas”, Estadio de Softbol “Los caracoles”,Estadio de Softbol “El campestre”, Estadio de softbol “Elson Becerra”, Cancha sintética “Santa Lucía”,Pista Auxiliar de Atletismo,Estadio de Softbol Juan C Arango, Cancha Sintética de Blas de Leso, Canchas múltiples barrio Santa Rita, Cancha múltiple de Blas de Lezo, Estadio de Softbol Blas de Lezo,Parque Centenario,Parque Huellas de Uribe,Estadio de Béisbol Daniel Ortiz ,Cancha Múltiple Daniel Lemaitre,Estadio de Softbol “Nuevo Bosque”,Coliseo Flor del campo,Cacha sintética de Fredonia,Polideportivo La Candelaria,Estadio de Softbol El Socorro,Cancha sintética Pie de la Popa ,Cancha sintética Nuevo Bosque, Cancha Sintética Alto Bosque,Cancha Sintética Los Caracoles,Polideportivo Los Calamares,Cancha sintética  la Consolita,Estadio de Softbol “Los Cerros”,Cancha Martínez Martelo,Estadio de Softbol San Fernando,Estadio de softbol Martínez Martelo,Cancha sintética “El Prado”,Cancha Sintética “Chile”,Cancha Sintética San Pedro ,Parque H – Román Manga,Exteriores Villa Olímpica “Fidel Mendoza”, Coliseo de Combate y Gimnasia “ Ignacio Amador de la Peña”,Pista de Atletismo “ Campo Elías Gutiérrez”,Complejo Acuático “ Jaime González Johnson”,Complejo de Raquetas ,Coliseo Norton Madrid,Patinódromo “ Marcos Molina Montes “,Coliseo Chico de Hierro.Se realizó el pago del servicio de energía eléctrica, acueducto y alcantarillado  a 14 escenarios. Se celebró contrato bajo la modalidad de licitación pública No. LIC-IDER-001-20 cuyo objeto es " la prestación del servicio de vigilancia armada en la modalidad fija, con los recursos humanos , técnicos, y logísticos propios para diferentes escenarios deportivos que están bajo la administración del Instituto Distrital de Deporte y Recreación -IDER" . 
</t>
  </si>
  <si>
    <t>Durante este periodo  se otorgaron 138 permisos de prestamos de escenarios deportivos que beneficiaron a 2.665 personas , entre los permisos ototrgados  a las ligas que cumplen con todos los protocolos de bioseguridad establecidos se encuentra la Liga de Squash,Atletismo , patinajes , Fútbol,  Pesas , Tenis y Voleibol entre otras.</t>
  </si>
  <si>
    <t>Se creó la resolución No. 058 del 13 de abril del 2020, donde se establecieron los  criterios para la administración de escenarios deportivos así como la clasificación de los escenarios deportivos y se fijaron las tarifas para alquileres de las unidades deportivas, unidades administrativas y unidades de ventas y servicios que se encuentran en ellos . Se creó el Manual de Lineamientos Técnicos Para Escenarios Deportivos,  el cual consta de 14 capítulos. Durante este periodo  se otorgaron 138 permisos de prestamos de escenarios deportivos que beneficiaron a 2.665 personas , entre los permisos ototrgados  a las ligas que cumplen con todos los protocolos de bioseguridad establecidos se encuentra la Liga de Squash,Atletismo , patinajes , Fútbol,  Pesas , Tenis y Voleibol entre otras.</t>
  </si>
  <si>
    <t xml:space="preserve">Se llevaron acabo 1 una Vía Recreativa que beneficio a 145 personas en el primer trimestre y un (1) evento recreativo a través de plataformas virtuales y/o redes sociales. </t>
  </si>
  <si>
    <t xml:space="preserve">Se llevaron acabo 1 una Vía Recreativa que beneficio a 145 personas en el primer trimestre y un (1) evento recreativo a través de plataformas  virtuales y/o redes sociales. </t>
  </si>
  <si>
    <t>Se continuó con el desarrollo de la oferta institucional a través de  las redes sociales y plataformas virtuales  y atendiendo las medidas de aislamiento local , por lo cual se cambio  la metodología de intervención institucional (presencial) por una virtual. Se realizaron publicaciones de videos, tutoriales, entre otras actividades.
En el proyecto de Campamentos Juveniles , se desarrollaron  charlas a través de salas virtuales como zoom, beneficiando a 361 jóvenes campistas , se realizaron treinta y un (31) sesiones de formación para el servicio social así como se trabajaron  (3)  módulos sobre habilidades para la vida. Se realizó con un Convenio con el Ministerio del Deporte por valor de $150.000.000.</t>
  </si>
  <si>
    <t xml:space="preserve">Se continuó con el desarrollo de la oferta institucional a través de  las redes sociales y plataformas virtuales  y atendiendo las medidas de aislamiento local , por lo cual se cambio  la metodología de intervención institucional (presencial) por una virtual. Se realizaron publicaciones de videos, tutoriales, entre otras actividades.
En el proyecto de Escuela Recreativa  se realizaran las siguientes actividades:
Ocho (8) capacitaciones a las madres comunitarias y agentes educativas en talleres de elaboración de juguetes y juegos. 
madres comunitarias y agentes Educativas recibieron asesorías de  hábitos y estilos de vida saludable. 
Se desarrollaron nueve (9)  Talleres a padres de familias o cuidadores sobre temas Nutricionales y pautas de crianza amorosa. 
Se adelantaron tres (3) Campañas : Cuentos que no son cuentos, caminata por la Lactancia materna, promoción semana de la salud en la primera infancia. 
Se realizaron  nueve (9)  talleres sobre el cuidado, hábitos de vida saludable y 
       estimulación temprana .
Se realizo un evento recreativo a través de las plataformas virtuales y redes sociales que beneficio a 4.656 personas. 
</t>
  </si>
  <si>
    <t>Durante  se dictará en los  mes de noviembre y diciembre una charlas virtuales de actividades recreativas y Juegos Pre-deportivos que beneficiarán a 1.820 persona mayor .</t>
  </si>
  <si>
    <t>Observación- Relación de las Evidencias - Link: 
https://1drv.ms/u/s!An_-YqStCA-Jgxp_XgqgglTpIHXh?e=DshXdm</t>
  </si>
  <si>
    <t xml:space="preserve">Por asignar </t>
  </si>
  <si>
    <t>Se crea la Resolución  No. 050 (01 de Abril de 2020) “Por medio de la cual se actualiza la reglamentación de los programas de apoyo a Deportistas de Altos Logros – PADAL y Futuros Ídolos del Deporte – PAFID y se establece el procedimiento para la entrega de incentivos a quienes hagan parte de los mismos, de conformidad con lo dispuesto en la Ley 1389 de 2010". Se realiza la socialización de la convocatoria pública el día 17 de junio del 2020, a través de plataformas virtuales. Posteriormente, el 19 de junio del 2020 se publicó en la página web del IDER  la convocatoria pública  para incentivos a los programas Futuros Ídolos del Deporte (PAFID) y Deportistas de Altos Logros (PADAL) para postulaciones y adjudicaciones,  al cierre de esta convocatoria  se inscribieron 243 deportistas  y se seleccionaron 109 por valor de $456.933. 342 mediante la Resolución No. 121 del 4 de agosto de 2020 . En este ultimo trimestre de 2020  se realizó  la segunda convocatoria de PADAL y PAFID en la que se beneficiaran a 146 deportistas  por valor de $542.802.227 a través de la Resolución No. 131 del 31 de agosto de 2020.</t>
  </si>
  <si>
    <t>02-001-06-20-02-04-01-01</t>
  </si>
  <si>
    <t>02-027-06-20-02-04-01-01</t>
  </si>
  <si>
    <t>02-059-06-20-02-04-01-01</t>
  </si>
  <si>
    <t>02-097-06-20-02-04-01-01</t>
  </si>
  <si>
    <t>DESARROLLO DE LA ESCUELA DE INICIACION Y FORMACION DEPORTIVA</t>
  </si>
  <si>
    <t>Implementar el nivel 1: Iniciación Deportiva
Implementar el nivel 2: Formación Deportiva
Implementar el nivel 3: Enfasis Deportivo
Implementar el nivel 4: Perfeccionamiento Deportivo
Aumentar el número de núcleos de atención en los niveles 1 y 2 de iniciación y formación deportiva
Sistematizar la vinculación de los niños, niñas y adolescentes pertenecientes a la Escuela de Formación Deportiva
Realizar acompañamiento psicosocial a los niños, niñas, adolescentes y padres pertenecientes a la Escuela de Formación Deportiva
Divulgar las acciones y actividades desarrolladas en el proyecto
Adquirir los elementos y herramientas necesarios para el desarrollo de los niveles 1 y 2 de iniciación y formación deportiva
Adquirir los elementos y herramientas necesarios para el desarrollo del nivel 3 de enfasis deportivo
Adquirir los elementos y herramientas necesarios para el desarrollo del nivel 4 de perfeccionamiento deportivo
Realizar encuentros deportivos para la participación de los niños, niñas y adolescentes pertenecientes a la Escuela de Formación Deportiva</t>
  </si>
  <si>
    <t xml:space="preserve">Durante el primer trimestre beneficiamos a 3.463 niñas, niños y adolescentes. Se cuenta en la actualidad con 50 núcleos y 36 énfasis deportivos. Durante el segundo trimestre  a causa de la pandemia del coronavirus, se ajustó la metodología de intervención institucional hacia las plataformas virtuales, dadas las restricciones por la pandemia COVID-19. Esta estrategia se desarrolló a través de redes sociales y plataformas virtuales con la publicación de mega clases semanales y video tutoriales. Así mismo en el tercer trimestre se dio apertura al 4 nivel de perfeccionamiento deportivo en alianza con las ligas deportivas de los deportes: Baloncesto, Voleibol, Softbol, Boxeo, Natación, Canotaje, Gimnasia y Karate Do, realizando jornadas de trabajo en salas virtuales por medio de la plataforma zoom, atendiendo a 380  niños, niñas y adolescentes nuevos miembros de la Escuela de Iniciación y Formación Deportiva, es decir beneficiamos de manera virtual a 1.575 niños , niñas y adolescentes. Se llevó a cabo un evento de Escuela de Padres. Se adquirieron 50 kits de dotación para los niveles 1 y 2 de iniciación y formación deportiva. Se está en proceso de diseño de la reactivación del desarrollo de las actividades en modalidad presencial, de acuerdo con los protocolos de bioseguridad. </t>
  </si>
  <si>
    <t xml:space="preserve">Se ha socializado con  Mindeportes cómo se va a trabajar los Juegos Intercolegiados ya que por motivo de la pandemia los estudiantes se encuentran en cuarentena en sus hogares y esto hace que los juegos vayan hacer en plataforma virtual. Las competencias de Intercolegiados abrieron plataformas el 8-10-2020.  Se fijarán  estrategias  con  la Secretaria de Educación  para incentivar a los jóvenes a que hagan deporte virtual. 
</t>
  </si>
  <si>
    <t>FORTALECIMIENTO DEL DEPORTE ESTUDIANTIL</t>
  </si>
  <si>
    <t>02-001-06-20-02-04-03-01</t>
  </si>
  <si>
    <t>02-097-06-20-02-04-03-01</t>
  </si>
  <si>
    <t>Impuesto Transporte por Oleoducto y Gasoducto</t>
  </si>
  <si>
    <t>INTEGRACIÓN COMUNITARIA A TRAVÉS DEL DEPORTE</t>
  </si>
  <si>
    <t>02-001-06-20-02-04-02-01</t>
  </si>
  <si>
    <t>02-097-06-20-02-04-02-01</t>
  </si>
  <si>
    <t>CONSOLIDACION DEL SISTEMA DEPORTIVO DISTRITAL</t>
  </si>
  <si>
    <t>CONSOLIDACIÓN DEL SISTEMA DEPORTIVO DISTRITAL</t>
  </si>
  <si>
    <t>Realizar convocatoria para entrega de estímulos a deportistas convencionales y no convencionales
Realizar la entrega y seguimiento de los estímulos a deportistas convencionales y no convencionales
Divulgar las acciones de los deportivas y organizaciones deportivas realizadas 
Apoyar eventos deportivos de carácter regional, nacional e internacional
Realizar convocatoria para entrega de estímulos a organismos deportivos 
Realizar la entrega y seguimiento de los estímulos a organismos deportivos
Brindar asesorías a los organismos deportivos para el reconocimiento y estructuración
Crear plataforma de organizaciones deportivas
Realizar un encuentro donde participen las organizaciones deportivas</t>
  </si>
  <si>
    <t>IMPLEMENTACION DE LA ESTRATEGIA ESCUELA RECREATIVA</t>
  </si>
  <si>
    <t>02-001-06-20-02-04-05-01</t>
  </si>
  <si>
    <t>02-059-06-20-02-04-05-01</t>
  </si>
  <si>
    <t>02-146-06-20-02-04-05-01</t>
  </si>
  <si>
    <t>CONVENIOS</t>
  </si>
  <si>
    <t>IMPLEMENTACION DEL PROGRAMA NACIONAL CAMPAMENTOS JUVENILES EN EL DISTRITO DE CARTAGENA</t>
  </si>
  <si>
    <t>IMPLEMENTACIÓN DEL PROGRAMA NACIONAL CAMPAMENTOS JUVENILES EN EL DISTRITO DE CARTAGENA</t>
  </si>
  <si>
    <t>02-059-06-20-02-04-05-02</t>
  </si>
  <si>
    <t>02-024-06-20-02-04-05-03</t>
  </si>
  <si>
    <t>APROVECHAMIENTO DEL ESPACIO PUBLICO PARA LA REALIZACIÓN DE EVENTOS RECREATIVOS QUE PERMITAN LA COHESIÓN COMUNITARIA</t>
  </si>
  <si>
    <t>Convenios</t>
  </si>
  <si>
    <t>31 de diciembre de 2020</t>
  </si>
  <si>
    <t>02-024-06-20-02-04-05-01</t>
  </si>
  <si>
    <t>CONVENIO</t>
  </si>
  <si>
    <t>TRANSFORMACIÓN DE HÁBITOS PARA LA GENERACIÓN DE ENTORNOS SALUDABLES EN EL DISTRITO DE CARTAGENA DE INDIAS</t>
  </si>
  <si>
    <t>Durante este segundo trimestre, se cambió la metodología de intervención institucional (presencial) por una virtual masiva mientras transcurre nuestras restricciones por la pandemia COVID-19. Se realizaron en este periodo las siguientes actividades en el proyecto de Transformación de hábitos para la generación de Entornos Saludables en el Distrito de Cartagena de Indias
Treinta (30) Jornadas de sensibilización a organizaciones públicas y privadas 
Una (1)  jornada de sensibilización a centros penitenciarios y carcelarios 
Veintiuna (21) jornadas de sensibilización a centros de vida y/o grupos organizados de personas mayores .
Tres (3) campañas de concientización de Salud. 
Contamos con un convenio del Ministerio del Deporte por valor de $ 86.800.000 para fortalecer las actividades del programa de Hábitos y Estilo de Vida Saludable</t>
  </si>
  <si>
    <t>MEJORAMIENTO DE LOS ESTILOS DE VIDA</t>
  </si>
  <si>
    <t>RECREACIÓN PARA TODOS, COMO MECANISMO PARA LA COHESIÓN COMUNITARIA MEDIANTE EL APROVECHAMIENTO Y USO DEL TIEMPO LIBRE</t>
  </si>
  <si>
    <t>Realizar manuales operativos y administrativos para el uso de los escenarios deportivos
Caracterizar los escenarios (unidades) deportivos 
Socializar y divulgar el uso adecuado de los escenarios deportivos a todos los usuarios y beneficiarios
Divulgar las acciones y actividades desarrolladas en el proyecto
Disponer los escenarios deportivos para el uso de la comunidad
Realizar un plan general de mantenimiento de los escenarios deportivos
Intervenir de manera preventiva, correctiva, programada y predictiva los escenarios deportivos
Garantizar el continuo uso y disfrute de los escenarios
Administrar el uso y préstamo de los escenarios a la comunidad
Realizar revisión y verificación del funcionamiento de los escenarios deportivos</t>
  </si>
  <si>
    <t>CONSERVACIÓN, MANTENIMIENTO Y MEJORAMIENTO DE LOS ESCENARIOS DEPORTIVOS DE LA CIUDAD</t>
  </si>
  <si>
    <t>02-059-06-20-02-04-07-01</t>
  </si>
  <si>
    <t>02-097-06-20-02-04-06-01</t>
  </si>
  <si>
    <t>02-097-06-20-02-04-06-02</t>
  </si>
  <si>
    <t>APLICACIÓN DE LA CIENCIA, LA TECNOLOGÍA Y LA INNOVACIÓN (CTEI) EN EL SECTOR DEPORTE EN EL DISTRITO DE CARTAGENA DE INDIA</t>
  </si>
  <si>
    <t>APLICACIÓN DE LA CIENCIA, LA TECNOLOGÍA Y LA INNOVACIÓN (CTEI) EN EL SECTOR DEPORTE EN EL DISTRITO DE CARTAGENA DE INDIAS</t>
  </si>
  <si>
    <t>DIVULGACIÓN, APROPIACIÓN DE CONOCIMIENTO Y PARTICIPACIÓN CIUDADANA EN EL SECTOR DEPORTE, DEL DISTRITO DE CARTAGENA DE INDIAS</t>
  </si>
  <si>
    <t>RECOPILACIÓN DE LA MEMORIA HISTÓRICA DEL DEPORTE CARTAGENERO Y BOLIVARENSE.</t>
  </si>
  <si>
    <t>02-011-06-20-02-04-06-01</t>
  </si>
  <si>
    <t>N/A</t>
  </si>
  <si>
    <t>% de avance del programa a 30 se septiembre 2020</t>
  </si>
  <si>
    <t>N´P</t>
  </si>
  <si>
    <t>NP</t>
  </si>
  <si>
    <t xml:space="preserve">Porcentaje de avance septiembre 2020 </t>
  </si>
  <si>
    <t>REPORTE META PRODUCTO DICIEMBRE   2020</t>
  </si>
  <si>
    <t xml:space="preserve">REPORTE META PRODUCTO 31DE DICIEMBRE  ACUMULADO DE 2020 </t>
  </si>
  <si>
    <t>%de avance diciembre  - Meta año</t>
  </si>
  <si>
    <t xml:space="preserve">% de avance del programa a 31 de diciembre </t>
  </si>
  <si>
    <t>% de avance en la Meta  Cuatrienio</t>
  </si>
  <si>
    <t>%de avance Julio - Septiembre. Meta año</t>
  </si>
  <si>
    <t xml:space="preserve">Porcentaje de avance diciembre  2020 </t>
  </si>
  <si>
    <t xml:space="preserve">REPORTE  ASIGNACIÓN PRESUPUESTAL -SEPTIEMBRE 2020 </t>
  </si>
  <si>
    <t>REPORTE EJECUCIÓN PRESUPUESTAL -SEPTIEMBRE 2020</t>
  </si>
  <si>
    <t>REPORTE EJECUCIÓN PRESUPUESTAL -DICIEMBRE  2020</t>
  </si>
  <si>
    <t xml:space="preserve">Durante el primer trimestre beneficiamos a 3.463 niñas, niños y adolescentes.
Se cuenta en la actualidad con 50 núcleos y 36 énfasis deportivos.
Durante el segundo trimestre  a causa de la pandemia del coronavirus, se ajustó la metodología de intervención institucional hacia las plataformas virtuales, dadas las restricciones por la pandemia COVID-19. Esta estrategia se desarrolló a través de redes sociales y plataformas virtuales con la publicación de mega clases semanales y video tutoriales. Así mismo en el tercer trimestre se dio apertura al 4 nivel de perfeccionamiento deportivo en alianza con las ligas deportivas de los deportes: Baloncesto, Voleibol, Softbol, Boxeo, Natación, Canotaje, Gimnasia y Karate Do, realizando jornadas de trabajo en salas virtuales por medio de la plataforma zoom, atendiendo a 380  niños, niñas y adolescentes nuevos miembros de la Escuela de Iniciación y Formación Deportiva, es decir beneficiamos de manera virtual a 1.575 niños , niñas y adolescentes.
Se llevó a cabo un evento de Escuela de Padres,  se adquirieron 50 kits de dotación para los niveles 1 y 2 de iniciación y formación deportiva.
</t>
  </si>
  <si>
    <t>Observación- Relación de las Evidencias - Link: 
https://1drv.ms/u/s!An_-YqStCA-Jgxp_XgqgglTpIHXh?e=DshXdm (octubre -diciembre  2020)</t>
  </si>
  <si>
    <t>Dentro de las acciones desarrolladas en el marco del proyecto se encuentra la apertura de dos (2) convocatorias dirigidas a Organismos Deportivos, así: a) Convocatoria N° 1: tuvo apertura mediante resoluciones No. 044 del 13 de marzo de 2020 y 048 del 24 de marzo de 2020 por las cuales se dictan las disposiciones para la “Convocatoria pública para la entrega de apoyos a organismos deportivos que tengan jurisdicción en Cartagena de Indias D.T. y C. – I Semestre de 2020” las mismas fueron revocadas por la resolución N°. 062 del 20 de abril de 2020 dado que la pandemia covid-19 afecto el desarrollo de las actividades que se pretendían apoyar, tales como: Organización y Participación en Eventos deportivos. b) Convocatoria N° 2: tuvo apertura mediante resolución No. 130 del 28 de agosto de 2020 “Mediante la cual se apertura convocatoria pública para la entrega de apoyos
Página 63 de 111
a organismos deportivos que tengan jurisdicción en Cartagena de Indias D.T. y C., en tiempos del Coronavirus COVID–19 (II Semestre de 2020)”, la cual beneficiará a 125 organismos deportivos por $1.000 millones de pesos. Esta convocatoria fue modificada a través de Resolución No. 143 del 11 de septiembre de 2020 “Mediante la cual se modifica parcialmente la Resolución No. 130 del 28 de agosto de 2020” -Que mediante la Resolución No. 130 del 28 de agosto de 2020, se ordenó dar apertura de la “Convocatoria pública para la entrega de apoyos a organismos deportivos que tengan jurisdicción en Cartagena de Indias D.T. y C., en tiempos del Coronavirus COVID–19 (II semestre de 2020). Y el 28 de septiembre se realizó cierre de convocatorio a través de la Resolución No. 160 de septiembre de 2020, con la que se espera beneficiar a 55 organismos deportivos distribuidos en 43 clubes y 12 ligas por valor de $ 445.000.000 a través de la Resolución No. 193 del 30 de octubre del 2020 que beneficiarán aproximadamente a 2.440 personas.</t>
  </si>
  <si>
    <t>Se denomina Deporte Estudiantil aquellas actividades lúdicas, motrices y deportivas, mediante procesos educativos y pedagógicos que fortalecen la formación integral de las niñas, niños, adolescentes y jóvenes en edad escolar, como complemento al desarrollo educativo, que se implementan en jornada extraescolar para satisfacer sus necesidades e intereses promoviendo la cultura de la práctica deportiva y utilización del tiempo libre. Debido a la situación de emergencia de salud que está pasando nuestro país, los Juegos Intercolegiados fueron rediseñados para realizarse a través de plataformas virtuales. Lo anterior, ha representado un reto para su implementación dado que es necesario modificar su sistema de competencias que se van a convertir en habilidades técnicas y físicas y su forma de juzgamiento.
Durante el mes de octubre se han realizado piezas comunicacionales y divulgación por diferentes medios. Fue firmado un Convenio Interinstitucional con el Ministerio del Deporte
Página 58 de 111
para el fortalecimiento de este proyecto. A 31 de didiembre se registran en la plataforma 3.956  participantes en los juegos intercolegiados.</t>
  </si>
  <si>
    <t>Los estímulos dirigidos a deportistas se creó la Resolución No. 050 (01 de abril de 2020) “Por medio de la cual se actualiza la reglamentación de los programas de apoyo a Deportistas de Altos Logros – PADAL y Futuros Ídolos del Deporte – PAFID y se establece el procedimiento para la entrega de incentivos a quienes hagan parte de estos, de conformidad con lo dispuesto en la Ley 1389 de 2010". Por lo anterior se realiza la socialización de la convocatoria pública el día 17 de junio del 2020, a través de plataformas virtuales., y posteriormente, el 19 de junio del 2020 se publica en la página web del IDER la convocatoria pública para incentivos a los programas Futuros Ídolos del Deporte (PAFID) y Deportistas de Altos Logros (PADAL) para la postulación y adjudicación de recursos por parte de la población deportiva, al cierre de esta convocatoria se inscribieron 243 deportistas y se seleccionaron 109 por valor de $456.933. 342 mediante la Resolución No. 121 del 4 de agosto de 2020. Así mismo, se realizó la segunda convocatoria de PADAL y PAFID en la que se beneficiaran a 146 deportistas por valor de $542.802.227 a través de la Resolución No. 131 del 31 de agosto de 2020, Para un total de 255 de deportistas beneficiados.</t>
  </si>
  <si>
    <t>Programa Deporte Social Comunitario con Inclusión “Cartagena Incluyente”
Este programa tiene como objetivo promover el desarrollo humano y la integración de la ciudadanía desde diferentes modalidades y disciplinas deportivas, destacando la importancia del ser humano y la colectividad como centro fundamental, al tiempo que se contribuye a la construcción de identidad, personalidad, desarrollo cognitivo, motriz, emocional, la construcción de territorio y fortalecimiento del tejido social de los grupos etarios y poblacionales.
Dentro de este programa realizaremos eventos o torneos deportivos y recreativos como: Juegos para personas con discapacidad, Juegos Carcelarios y Penitenciarios, Juegos Comunales, Actividades Predeportivas y Juegos Tradicionales de la Calle, Juegos Afros, negro, Palenqueros, raizales e Indígenas, Juegos Corregimentales, Torneos de Integración Comunitaria, Torneos deportivos para Jóvenes en Riesgo, Habitantes de Calle, LGTBIQ+ y otras en situación de vulnerabilidad.
Incluye el desarrollo de un (1) proyecto que se describen a continuación, el cual ha sido diseñado particularmente como una reingeniería de la oferta institucional del deporte social comunitario en tiempos de pandemia.
 Proyecto Fortalecimiento del Deporte Social Comunitario en Tiempo de Pandemia en la Ciudad Cartagena de Indias : Este proyecto tiene como objetivo general aumentar la realización de actividades deportivas, predeportivos y recreativas en las comunidades de la ciudad de Cartagena, para ello ha definido como objetivos específicos: a) Mejorar el acceso a los programas de prácticas deportivas, predeportivas y recreativas propiciando el acceso de la oferta digital a través de servicios de internet. b) Aumentar conocimiento de la población de práctica de los deportes a través de la oferta de cursos libres en línea sobre deporte. Ante esto se han generado dos estrategias: "Familia Activa con el IDER” y "Todos a Aprender de Deporte”, cada una de las cuales será ejecutada en su mayoría bajo plataformas virtuales. A la fecha de presentación de este informe se tiene inscritas 9.705 beneficiarios. Vale la pena mencionar que al principio de la vigencia fueron realizadas actividades 2 actividades para el fortalecimiento del Deporte y la Recreación comunitaria con inclusión social, beneficiando a 382 personas. dentro de las estrategias  Familia Activa con el IDER se inscribieron 2.440 familias para un total de 9.760 personas y en la estrategia Todos a Aprender de Deporte se benefiaron a 3.750 para un total de 13.892 personas beneficiadas.</t>
  </si>
  <si>
    <t>Durante  se dictará en los  mes de noviembre y diciembre una charlas virtuales de actividades recreativas y  1.820 persona mayor .</t>
  </si>
  <si>
    <t>Se realizaron charlas virtuales de actividades recreativas y Juegos Pre-deportivos que beneficiarán a : 205 personas mayores, 1.393 personas de intituciones educativas, grupos organizados de adolescentes y jóvenes , hogares comunitarios y/o CDI y 512 personas participantes  en eventos con la Alcaldia Mayor de Cartagena , para un total de 2.110 personas benefiadas.</t>
  </si>
  <si>
    <t>Proyecto Implementación del programa Nacional "campamentos Juveniles" en el Distrito de Cartagena.
Este proyecto tiene como objetivo general Implementar estrategias de desarrollo integral desde la recreación dirigidas a los adolescentes y jóvenes en el Distrito de Cartagena de Indias. Para ello ha definido como objetivos específicos los siguientes:
o Acompañar el proceso de consolidación del proyecto de vida
o Aplicar metodologías de enseñanza asociadas al relacionamiento social y del medio ambiente
o Promover la participación en procesos sociales, culturales, deportivos y recreativos
Lo anterior, a través del desarrollo de actividades de educación extraescolar para jóvenes hombres y mujeres voluntarios, cuyas edades oscilan entre los 13 y 28 años, el cual busca contribuir al mejoramiento de su formación y desarrollo integral, afianzar valores a través de la recreación el deporte y la cultura, fortaleciendo técnicas campamentiles y de ecología con una filosofía de servicio a los demás, amor por la naturaleza y por nuestra nación, para disfrute y aprovechamiento del tiempo libre.
Se benefiaron a un total de 364 personas.</t>
  </si>
  <si>
    <t>Dentro de este proyecto de Impleentación de la estrategia "Escuela Recreativa " para fortalecer las capcidades emocionales y motrices de la Primera Infancia en el Distrito de Cartagena  de Indias , se llevaron a cabo este año 2020 las siguientes actividades : 21 capacitaciones a Madres Comunitarias y Agentes Educativas,21 taller a padres de familias o cuidadores sobre temas nutricionales y pautas de ciranza amoroza, se atendieron a 1955 infantes desarrollando sesiones lúdicas , se llevaron a cabo 2 Carnavales Lúdicos ,18 talleres sobre el cuidado, hábitos de vida saludable y estimulación temprana entre otras.</t>
  </si>
  <si>
    <t xml:space="preserve">En el año 2020 se recibieron dos obras de convenio de Aguas de Cartagena : Una (1) en el barrio  de Villa  Estrella y Una (1) en el barrio  Nelson Mandela, pendiente de recibir la del barrio del Prado . 
</t>
  </si>
  <si>
    <t xml:space="preserve"> Durante este año 2020 ,  se creó la resolución No. 058 del 13 de abril del 2020, donde se establecieron los  criterios para la administración de escenarios deportivos así como la clasificación de los escenarios deportivos y se fijaron las tarifas para alquileres de las unidades deportivas, unidades administrativas y unidades de ventas y servicios que se encuentran en ellos, se realizo el Manual de Lineamientos y Especificaciones Técnicas de Escenarios Deportivos- Ider  adoptado mediante Resolución No. 157 del 24 de septiembre  de 2020  y para finales del  año la Oficina Asesora de Infraestructura elaboró  el  Plan de Mitigación de Riesgos de  los Escenarios Deportivos, el cual fue adoptado mediante Resolución No. 204 del 19 de noviembre de 2020.</t>
  </si>
  <si>
    <t xml:space="preserve">El Instituto Distrital de Deporte y Recreación-IDER , tiene  los doce (12) planes contemplados en el Decreto No.612 de 2018 aprobados mediante Acta No.001 del 24 de enero del 2020 del Comité Institucional de Gestión Y Desempeño (CIGD) , además trimestralmente se realiza su  seguimiento,   los cuales son cuatro (4) publicados en la página Web  del IDER en el link de Transparencia. 
</t>
  </si>
  <si>
    <t>Durante este cuarto trimestre del año 2020 se  benefiaron a 1.325 personas a través de Plataformas Virtuales para un total aproximado de 5.547 benefiados en el año 2020.</t>
  </si>
  <si>
    <t xml:space="preserve">Este proyecto se formuló  y se presentó a Planeación Distrital, en donde se revisó y autorizo su implementación; la cual iniciará en el periodo correspondiente al 2021. Sin embargo, se ha adelantado trabajo con la elaboración de Trivias, Podcasts y entrevistas a ídolos deportivos y deportistas destacados, para visibilizarlos ante la ciudadanía. Se elaboraron y enviaron 8 Trivias al equipo de comunicación, las cuales se están publicando una vez por semana y en este momento han sido publicadas 4 Trivias. </t>
  </si>
  <si>
    <t>Se adelantó de la mano del equipo de investigación del Observatorio del Patrimonio Cultural de la Universidad de Cartagena y el equipo del Observatorio del Deporte (IDER) un proceso de investigación sobre el deporte social comunitario para un primer diagnóstico sobre el estado de esta categoría en Cartagena, el cual culminó exitosamente al 100% con la producción de un artículo científico denominado “Deporte y Recreación para la transformación social de las comunidades de Cartagena de Indias”,. El documento consta de todo el rigor científico, normas APA, traducción y requerimientos para publicación en revista indexada (52 páginas).: Este compromiso se cumplió a cabalidad en fases de planeación, programación y realización. Se organizó el Encuentro Académico Internacional Deporte y Comunidades del Siglo XXI, ciencia y cultura para la transformación social. Se realizó los días 10 y 11 de diciembre de 2020, a través de la plataforma virtual de la Universidad de Cartagena. Contó con la participación de 4 de los investigadores en ciencias sociales y deporte más importantes y de mayor producción científica en torno al Deporte como elemento de transformación social y construcción de identidad. Se cumplió al 100% de manera satisfactoria.</t>
  </si>
  <si>
    <t>Se realizó un convenio marco de cooperación interinstitucional entre el IDER y  la Universidad de Cartagena, el día 25 de junio de 2020.</t>
  </si>
  <si>
    <t xml:space="preserve">Durante este segundo trimestre, se cambió la metodología de intervención institucional (presencial) por una virtual masiva mientras transcurre nuestras restricciones por la pandemia COVID-19. En este período se realizaron 2 eventos de hábitos y estilos de vida saludable que beneficiaron a 15.012 personas a través de Facebook Live y redes sociales. Para el cierre del año 2020 , se realizó un (1) evento de clausura del porgram de Hábitos y Estilos de Vida Saludable que beneficio aproximadamente a 520 personas. Para un total de tres (3) eventos y un aproximado de 15.532 personas beneficiadas. 
</t>
  </si>
  <si>
    <t>Las dos estrategias del proyecto de  Proyecto Fortalecimiento del Deporte Social Comunitario en Tiempo de Pandemia en la Ciudad Cartagena de Indias , se realizó a través de plataformas virtuales.</t>
  </si>
  <si>
    <t xml:space="preserve">Se realizaron en este útilo trimestre del año 2020,  las siguientes actividades dentro del proyecto de Transformación de hábitos para la generación de Entornos Saludables en el Distrito de Cartagena de Indias, las actividades fueron las siguientes:  
890 fichas de tamizaje en las organizaciones públicas y privadas 
2.947 Personas asesoradas en organizaciones públicas y privadas  
239 Personas asesoradas en centros de vida y/o grupos organizados de personas mayores .
Dos (2) campañas de concientización de Salud. 
</t>
  </si>
  <si>
    <t xml:space="preserve">
Se trabajan cuatro rutas de Caminante saludable la cuales son : Boulevard de Crespo, Unidad  Deportiva Fidel Mendoza Carrasquilla, Unidad Deportiva el Campestre y Parque Lineal  - Parque Heredia , en los cuales se beneficio a  182  personas a finales del mes de diciembre de 2020.
 Tenemos 113 puntos de atención de Promoción Masiva de Una Vida Activa como ya mencionamos 4 de Caminante Saludable, noventa y ocho  (98)  puntos entre Noche y Madrúgale a La Salud y once (11) puntos de Joven Saludable.
Dentro de los once(11) puntos de Joven Saludable a finales de diciembre beneficiamos a 383 personas aproximadamente asi como también dentro de  los  noventa y ocho  (98)  puntos distribuidos en cuarenta y nueve (49) puntos de Noche se beneficaron aproximadamente a 1.529 y en los cuarente y nueve (49) puntos de  Madrúgale a La Salud recibieron beneficios aproximadamente 1.658 personas.
</t>
  </si>
  <si>
    <t xml:space="preserve">REPORTE  ASIGNACIÓN PRESUPUESTAL DEFINITVA  -DICIEMBRE 2020 </t>
  </si>
  <si>
    <t>Se realizó un convenio marco de cooperación interinstitucional entre el IDER y  la Universidad de Cartagena, el día  25 de junio de 2020 , de cual se derivaron dos convenios No. 680 del  28 de octubre de 2020 por valor de  $164.357.500 y convenio No. 688 del 28 de octubre de 2020 por valor de  $71.880.000</t>
  </si>
  <si>
    <t xml:space="preserve">Durante este segundo trimestre, se cambió la metodología de intervención institucional (presencial) por una virtual masiva mientras transcurre nuestras restricciones por la pandemia COVID-19. En este período se realizaron 2 eventos de hábitos y estilos de vida saludable que beneficiaron a 15.012 personas a través de Facebook Live y redes sociales. Para el cierre del año 2020 , se realizó dos (2) eventos : Uno (1)  de Clausura del programa de Hábitos y Estilos de Vida Saludable y Una (1) Maratón que beneficiaron  aproximadamente a 520 personas. Para un total de cuatro  (4) eventos y un aproximado de 15.532 personas beneficiadas. 
</t>
  </si>
  <si>
    <t>% de avance en la meta Cautrienio</t>
  </si>
  <si>
    <t>Para este periodo  semestre se realizaron 221  visitas técnicas y sus diagnósticos técnicos 221. Durante el periodo de enero a diciembre de 2020, se realizaron  jornadas de aseo, mantenimiento preventivo, recuperación, conservación y presentación deSe realizaron a 45 escenarios deportivos entre mayores y menores mantenimiento preventivo, recuperación, conservación ,  presentación y Jornadas  de aseo,  desinfección como medida de  cuidado y prevención ante la pandemia COVID-19. Los escenarios son:  Estadio de Béisbol menor “Mono Judas”, Estadio de Softbol “Los caracoles”,Estadio de Softbol “El campestre”, Estadio de softbol “Elson Becerra”, Cancha sintética “Santa Lucía”,Pista Auxiliar de Atletismo,Estadio de Softbol Juan C Arango, Cancha Sintética de Blas de Leso, Canchas múltiples barrio Santa Rita, Cancha múltiple de Blas de Lezo, Estadio de Softbol Blas de Lezo,Parque Centenario,Parque Huellas de Uribe,Estadio de Béisbol Daniel Ortiz ,Cancha Múltiple Daniel Lemaitre,Estadio de Softbol “Nuevo Bosque”,Coliseo Flor del campo,Cacha sintética de Fredonia,Polideportivo La Candelaria,Estadio de Softbol El Socorro,Cancha sintética Pie de la Popa ,Cancha sintética Nuevo Bosque, Cancha Sintética Alto Bosque,Cancha Sintética Los Caracoles,Polideportivo Los Calamares,Cancha sintética  la Consolita,Estadio de Softbol “Los Cerros”,Cancha Martínez Martelo,Estadio de Softbol San Fernando,Estadio de softbol Martínez Martelo,Cancha sintética “El Prado”,Cancha Sintética “Chile”,Cancha Sintética San Pedro ,Parque H – Román Manga,Exteriores Villa Olímpica “Fidel Mendoza”, Coliseo de Combate y Gimnasia “ Ignacio Amador de la Peña”,Pista de Atletismo “ Campo Elías Gutiérrez”,Complejo Acuático “ Jaime González Johnson”,Complejo de Raquetas ,Coliseo Norton Madrid,Patinódromo “ Marcos Molina Montes “,Coliseo Chico de Hierro, cancha múltiple del corregimiento de Barú. La oficina Asesora de Infraestructura realizó  los presupuestos de los 41 escenarios deportivos para su mantenimiento posteriormente se realizó la moficiacón del proyecto de Conservación , mantenimiento y mejoramiento de los escenarios deportivos de la ciudad como estrategia de presenvación del patrimonio material del Distrito de Cartagena de Indias ., No se pudo llevar acabo  el proceso de litacion de estas obras , se espera realizar en el año 2021 ,  siempre y cuando se  incorporen  los recursos al  prespuesto de la vigencia 2021.</t>
  </si>
  <si>
    <t>Durante este 4to trimestre del año 2020 , se otorgaron 414 permisos de prestamos de escenarios deportivos que beneficiaron a 5.055  personas , entre los permisos otorgados  a las ligas que cumplen con todos los protocolos de bioseguridad establecidos se encuentra la Liga de Squash, Atletismo , patinajes , Fútbol,  Pesas , Tenis , Natación,  Voleibol, beisbol, Tenis de Mesa , Fútbol de Salón, Karate , Taekwondo. entre otras.</t>
  </si>
  <si>
    <t xml:space="preserve">% AVANCE PROGRAMAS A 31 DE DICIEMBRE DE 2020 </t>
  </si>
  <si>
    <t xml:space="preserve">Avance Meta Producto  (cuatrenio)  a 31 de diciembre de 2020 </t>
  </si>
  <si>
    <t xml:space="preserve">AVANCE FINANCIERO A 31 DE DICIEMBRE DE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</si>
</sst>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43" formatCode="_-* #,##0.00_-;\-* #,##0.00_-;_-* &quot;-&quot;??_-;_-@_-"/>
    <numFmt numFmtId="164" formatCode="_-* #,##0_-;\-* #,##0_-;_-* &quot;-&quot;??_-;_-@_-"/>
  </numFmts>
  <fonts count="15"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12"/>
      <color theme="1"/>
      <name val="Arial Narrow"/>
      <family val="2"/>
    </font>
    <font>
      <sz val="11"/>
      <color theme="1"/>
      <name val="Arial"/>
      <family val="2"/>
    </font>
    <font>
      <b/>
      <sz val="16"/>
      <color theme="1"/>
      <name val="Calibri"/>
      <family val="2"/>
      <scheme val="minor"/>
    </font>
    <font>
      <b/>
      <sz val="11"/>
      <name val="Arial Narrow"/>
      <family val="2"/>
    </font>
    <font>
      <sz val="11"/>
      <color theme="1"/>
      <name val="Arial Narrow"/>
      <family val="2"/>
    </font>
    <font>
      <sz val="11"/>
      <color rgb="FF000000"/>
      <name val="Arial Narrow"/>
      <family val="2"/>
    </font>
    <font>
      <b/>
      <sz val="14"/>
      <color theme="1"/>
      <name val="Calibri"/>
      <family val="2"/>
      <scheme val="minor"/>
    </font>
    <font>
      <b/>
      <sz val="11"/>
      <color theme="1"/>
      <name val="Arial Narrow"/>
      <family val="2"/>
    </font>
    <font>
      <sz val="11"/>
      <name val="Arial Narrow"/>
      <family val="2"/>
    </font>
    <font>
      <b/>
      <sz val="18"/>
      <color theme="1"/>
      <name val="Calibri"/>
      <family val="2"/>
      <scheme val="minor"/>
    </font>
    <font>
      <sz val="12"/>
      <name val="Arial Narrow"/>
      <family val="2"/>
    </font>
  </fonts>
  <fills count="13">
    <fill>
      <patternFill patternType="none"/>
    </fill>
    <fill>
      <patternFill patternType="gray125"/>
    </fill>
    <fill>
      <patternFill patternType="solid">
        <fgColor rgb="FFFFFFCC"/>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7"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s>
  <cellStyleXfs count="6">
    <xf numFmtId="0" fontId="0" fillId="0" borderId="0"/>
    <xf numFmtId="43" fontId="1" fillId="0" borderId="0" applyFont="0" applyFill="0" applyBorder="0" applyAlignment="0" applyProtection="0"/>
    <xf numFmtId="0" fontId="5"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214">
    <xf numFmtId="0" fontId="0" fillId="0" borderId="0" xfId="0"/>
    <xf numFmtId="0" fontId="4" fillId="2" borderId="1" xfId="0" applyFont="1" applyFill="1" applyBorder="1" applyAlignment="1">
      <alignment horizontal="left" vertical="center" wrapText="1"/>
    </xf>
    <xf numFmtId="3"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0" fontId="4" fillId="3" borderId="1" xfId="0" applyFont="1" applyFill="1" applyBorder="1" applyAlignment="1">
      <alignment horizontal="left" vertical="center" wrapText="1"/>
    </xf>
    <xf numFmtId="3" fontId="4" fillId="3" borderId="1" xfId="0" applyNumberFormat="1" applyFont="1" applyFill="1" applyBorder="1" applyAlignment="1">
      <alignment horizontal="center" vertical="center" wrapText="1"/>
    </xf>
    <xf numFmtId="0" fontId="4" fillId="3" borderId="1" xfId="0" applyFont="1" applyFill="1" applyBorder="1" applyAlignment="1">
      <alignment horizontal="right" vertical="center" wrapText="1"/>
    </xf>
    <xf numFmtId="0" fontId="4" fillId="4" borderId="1" xfId="0" applyFont="1" applyFill="1" applyBorder="1" applyAlignment="1">
      <alignment horizontal="left" vertical="center" wrapText="1"/>
    </xf>
    <xf numFmtId="3" fontId="4" fillId="4" borderId="1" xfId="0" applyNumberFormat="1" applyFont="1" applyFill="1" applyBorder="1" applyAlignment="1">
      <alignment horizontal="center" vertical="center" wrapText="1"/>
    </xf>
    <xf numFmtId="0" fontId="4" fillId="5" borderId="1" xfId="0" applyFont="1" applyFill="1" applyBorder="1" applyAlignment="1">
      <alignment horizontal="left" vertical="center" wrapText="1"/>
    </xf>
    <xf numFmtId="3" fontId="4" fillId="5" borderId="1"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3" fontId="4" fillId="6" borderId="1" xfId="0" applyNumberFormat="1" applyFont="1" applyFill="1" applyBorder="1" applyAlignment="1">
      <alignment horizontal="center" vertical="center" wrapText="1"/>
    </xf>
    <xf numFmtId="164" fontId="4" fillId="6" borderId="1" xfId="1" applyNumberFormat="1" applyFont="1" applyFill="1" applyBorder="1" applyAlignment="1">
      <alignment horizontal="right" vertical="center" wrapText="1"/>
    </xf>
    <xf numFmtId="1"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left" vertical="center" wrapText="1"/>
    </xf>
    <xf numFmtId="3" fontId="4" fillId="2" borderId="1" xfId="0" applyNumberFormat="1" applyFont="1" applyFill="1" applyBorder="1" applyAlignment="1">
      <alignment vertical="center" wrapText="1"/>
    </xf>
    <xf numFmtId="3" fontId="4" fillId="3" borderId="1" xfId="0" applyNumberFormat="1" applyFont="1" applyFill="1" applyBorder="1" applyAlignment="1">
      <alignment horizontal="right" vertical="center" wrapText="1"/>
    </xf>
    <xf numFmtId="1"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3" fontId="4" fillId="6" borderId="1" xfId="0" applyNumberFormat="1" applyFont="1" applyFill="1" applyBorder="1" applyAlignment="1">
      <alignment vertical="center" wrapText="1"/>
    </xf>
    <xf numFmtId="3" fontId="4" fillId="6"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0" fontId="4" fillId="2" borderId="1" xfId="0" applyFont="1" applyFill="1" applyBorder="1" applyAlignment="1">
      <alignment vertical="center" wrapText="1"/>
    </xf>
    <xf numFmtId="3" fontId="4" fillId="3" borderId="1" xfId="0" applyNumberFormat="1" applyFont="1" applyFill="1" applyBorder="1" applyAlignment="1">
      <alignment vertical="center" wrapText="1"/>
    </xf>
    <xf numFmtId="3" fontId="4" fillId="4" borderId="1" xfId="0" applyNumberFormat="1" applyFont="1" applyFill="1" applyBorder="1" applyAlignment="1">
      <alignment vertical="center" wrapText="1"/>
    </xf>
    <xf numFmtId="3" fontId="4" fillId="5" borderId="1" xfId="0" applyNumberFormat="1" applyFont="1" applyFill="1" applyBorder="1" applyAlignment="1">
      <alignment vertical="center" wrapText="1"/>
    </xf>
    <xf numFmtId="164" fontId="4" fillId="6" borderId="1" xfId="1" applyNumberFormat="1" applyFont="1" applyFill="1" applyBorder="1" applyAlignment="1">
      <alignment vertical="center" wrapText="1"/>
    </xf>
    <xf numFmtId="164" fontId="4" fillId="6" borderId="1" xfId="1"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5" borderId="1" xfId="0" applyNumberFormat="1"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0" fontId="0" fillId="0" borderId="0" xfId="0" applyAlignment="1">
      <alignment wrapText="1"/>
    </xf>
    <xf numFmtId="3" fontId="4" fillId="4" borderId="1" xfId="0" applyNumberFormat="1" applyFont="1" applyFill="1" applyBorder="1" applyAlignment="1">
      <alignment horizontal="right" vertical="center" wrapText="1"/>
    </xf>
    <xf numFmtId="1" fontId="4" fillId="4" borderId="1" xfId="0" applyNumberFormat="1" applyFont="1" applyFill="1" applyBorder="1" applyAlignment="1">
      <alignment horizontal="center" vertical="center" wrapText="1"/>
    </xf>
    <xf numFmtId="1" fontId="4" fillId="5" borderId="1" xfId="0" applyNumberFormat="1" applyFont="1" applyFill="1" applyBorder="1" applyAlignment="1">
      <alignment horizontal="center" vertical="center" wrapText="1"/>
    </xf>
    <xf numFmtId="0" fontId="4" fillId="5" borderId="1" xfId="0" applyFont="1" applyFill="1" applyBorder="1" applyAlignment="1">
      <alignment horizontal="right" vertical="center" wrapText="1"/>
    </xf>
    <xf numFmtId="0" fontId="4" fillId="6" borderId="1" xfId="0" applyFont="1" applyFill="1" applyBorder="1" applyAlignment="1">
      <alignment horizontal="right" vertical="center" wrapText="1"/>
    </xf>
    <xf numFmtId="3" fontId="4" fillId="6" borderId="1" xfId="0" applyNumberFormat="1" applyFont="1" applyFill="1" applyBorder="1" applyAlignment="1">
      <alignment horizontal="right" vertical="center" wrapText="1"/>
    </xf>
    <xf numFmtId="1" fontId="4" fillId="6" borderId="1" xfId="0" applyNumberFormat="1" applyFont="1" applyFill="1" applyBorder="1" applyAlignment="1">
      <alignment horizontal="center" vertical="center" wrapText="1"/>
    </xf>
    <xf numFmtId="3" fontId="4" fillId="3" borderId="1" xfId="0" applyNumberFormat="1" applyFont="1" applyFill="1" applyBorder="1" applyAlignment="1">
      <alignment horizontal="left" vertical="center" wrapText="1"/>
    </xf>
    <xf numFmtId="164" fontId="4" fillId="6" borderId="1" xfId="1" applyNumberFormat="1" applyFont="1" applyFill="1" applyBorder="1" applyAlignment="1">
      <alignment horizontal="left" vertical="center" wrapText="1"/>
    </xf>
    <xf numFmtId="3" fontId="4" fillId="2" borderId="1" xfId="0" applyNumberFormat="1" applyFont="1" applyFill="1" applyBorder="1" applyAlignment="1">
      <alignment horizontal="right" vertical="center" wrapText="1"/>
    </xf>
    <xf numFmtId="0" fontId="4" fillId="3" borderId="1" xfId="0" applyFont="1" applyFill="1" applyBorder="1" applyAlignment="1">
      <alignment horizontal="left" vertical="center" wrapText="1"/>
    </xf>
    <xf numFmtId="3" fontId="4" fillId="5" borderId="1" xfId="0" applyNumberFormat="1" applyFont="1" applyFill="1" applyBorder="1" applyAlignment="1">
      <alignment horizontal="left" vertical="center" wrapText="1"/>
    </xf>
    <xf numFmtId="3" fontId="4" fillId="4" borderId="1" xfId="0" applyNumberFormat="1" applyFont="1" applyFill="1" applyBorder="1" applyAlignment="1">
      <alignment horizontal="left" vertical="center" wrapText="1"/>
    </xf>
    <xf numFmtId="0" fontId="0" fillId="0" borderId="0" xfId="0" applyAlignment="1">
      <alignment wrapText="1"/>
    </xf>
    <xf numFmtId="3" fontId="4" fillId="5" borderId="1" xfId="0" applyNumberFormat="1" applyFont="1" applyFill="1" applyBorder="1" applyAlignment="1">
      <alignment horizontal="right" vertical="center" wrapText="1"/>
    </xf>
    <xf numFmtId="41" fontId="4" fillId="3" borderId="1" xfId="4" applyFont="1" applyFill="1" applyBorder="1" applyAlignment="1">
      <alignment horizontal="right" vertical="center" wrapText="1"/>
    </xf>
    <xf numFmtId="1" fontId="4" fillId="6" borderId="1" xfId="1" applyNumberFormat="1" applyFont="1" applyFill="1" applyBorder="1" applyAlignment="1">
      <alignment horizontal="right" vertical="center" wrapText="1"/>
    </xf>
    <xf numFmtId="41" fontId="4" fillId="6" borderId="1" xfId="4" applyFont="1" applyFill="1" applyBorder="1" applyAlignment="1">
      <alignment horizontal="right" vertical="center" wrapText="1"/>
    </xf>
    <xf numFmtId="41" fontId="4" fillId="2" borderId="1" xfId="4" applyFont="1" applyFill="1" applyBorder="1" applyAlignment="1">
      <alignment horizontal="right" vertical="center" wrapText="1"/>
    </xf>
    <xf numFmtId="1" fontId="4" fillId="2" borderId="1" xfId="4" applyNumberFormat="1" applyFont="1" applyFill="1" applyBorder="1" applyAlignment="1">
      <alignment horizontal="right" vertical="center" wrapText="1"/>
    </xf>
    <xf numFmtId="0" fontId="4" fillId="5" borderId="1" xfId="0" applyFont="1" applyFill="1" applyBorder="1" applyAlignment="1">
      <alignment vertical="center" wrapText="1"/>
    </xf>
    <xf numFmtId="0" fontId="0" fillId="8" borderId="0" xfId="0" applyFill="1" applyAlignment="1">
      <alignment wrapText="1"/>
    </xf>
    <xf numFmtId="164" fontId="4" fillId="5" borderId="1" xfId="0" applyNumberFormat="1" applyFont="1" applyFill="1" applyBorder="1" applyAlignment="1">
      <alignment horizontal="right" vertical="center" wrapText="1"/>
    </xf>
    <xf numFmtId="0" fontId="0" fillId="10" borderId="0" xfId="0" applyFill="1" applyAlignment="1">
      <alignment wrapText="1"/>
    </xf>
    <xf numFmtId="0" fontId="0" fillId="9" borderId="0" xfId="0" applyFill="1" applyAlignment="1">
      <alignment wrapText="1"/>
    </xf>
    <xf numFmtId="0" fontId="0" fillId="5" borderId="0" xfId="0" applyFill="1" applyAlignment="1">
      <alignment wrapText="1"/>
    </xf>
    <xf numFmtId="0" fontId="0" fillId="0" borderId="0" xfId="0" applyFill="1" applyAlignment="1">
      <alignment wrapText="1"/>
    </xf>
    <xf numFmtId="0" fontId="0" fillId="0" borderId="0" xfId="0" applyFill="1"/>
    <xf numFmtId="41" fontId="4" fillId="5" borderId="1" xfId="4" applyFont="1" applyFill="1" applyBorder="1" applyAlignment="1">
      <alignment horizontal="right" vertical="center" wrapText="1"/>
    </xf>
    <xf numFmtId="3" fontId="8" fillId="6" borderId="1" xfId="0" applyNumberFormat="1" applyFont="1" applyFill="1" applyBorder="1" applyAlignment="1">
      <alignment horizontal="left" vertical="center" wrapText="1"/>
    </xf>
    <xf numFmtId="3" fontId="8" fillId="5" borderId="1" xfId="0" applyNumberFormat="1" applyFont="1" applyFill="1" applyBorder="1" applyAlignment="1">
      <alignment horizontal="left" vertical="center" wrapText="1"/>
    </xf>
    <xf numFmtId="0" fontId="8" fillId="5" borderId="1" xfId="0" applyFont="1" applyFill="1" applyBorder="1" applyAlignment="1">
      <alignment horizontal="left" vertical="center" wrapText="1"/>
    </xf>
    <xf numFmtId="3" fontId="8" fillId="2" borderId="1" xfId="0" applyNumberFormat="1" applyFont="1" applyFill="1" applyBorder="1" applyAlignment="1">
      <alignment horizontal="left" vertical="center" wrapText="1"/>
    </xf>
    <xf numFmtId="0" fontId="8" fillId="3" borderId="1" xfId="0" applyFont="1" applyFill="1" applyBorder="1" applyAlignment="1">
      <alignment horizontal="left" vertical="center" wrapText="1"/>
    </xf>
    <xf numFmtId="3" fontId="8" fillId="4" borderId="1" xfId="0" applyNumberFormat="1" applyFont="1" applyFill="1" applyBorder="1" applyAlignment="1">
      <alignment horizontal="left" vertical="center" wrapText="1"/>
    </xf>
    <xf numFmtId="0" fontId="9" fillId="6" borderId="1" xfId="0" applyFont="1" applyFill="1" applyBorder="1" applyAlignment="1">
      <alignment horizontal="justify" vertical="center" readingOrder="1"/>
    </xf>
    <xf numFmtId="3" fontId="8" fillId="3" borderId="1" xfId="0" applyNumberFormat="1" applyFont="1" applyFill="1" applyBorder="1" applyAlignment="1">
      <alignment horizontal="left" vertical="center" wrapText="1"/>
    </xf>
    <xf numFmtId="0" fontId="0" fillId="11" borderId="0" xfId="0" applyFill="1" applyBorder="1"/>
    <xf numFmtId="0" fontId="0" fillId="11" borderId="0" xfId="0" applyFill="1" applyBorder="1" applyAlignment="1">
      <alignment wrapText="1"/>
    </xf>
    <xf numFmtId="3" fontId="8" fillId="11" borderId="0" xfId="0" applyNumberFormat="1" applyFont="1" applyFill="1" applyBorder="1" applyAlignment="1">
      <alignment horizontal="left" vertical="center" wrapText="1"/>
    </xf>
    <xf numFmtId="164" fontId="4" fillId="3" borderId="1" xfId="1" applyNumberFormat="1" applyFont="1" applyFill="1" applyBorder="1" applyAlignment="1">
      <alignment horizontal="right" vertical="center" wrapText="1"/>
    </xf>
    <xf numFmtId="0" fontId="4" fillId="3" borderId="2" xfId="0" applyFont="1" applyFill="1" applyBorder="1" applyAlignment="1">
      <alignment horizontal="right" vertical="center" wrapText="1"/>
    </xf>
    <xf numFmtId="0" fontId="0" fillId="0" borderId="0" xfId="0" applyAlignment="1">
      <alignment horizontal="right"/>
    </xf>
    <xf numFmtId="9" fontId="4" fillId="3" borderId="2" xfId="5" applyFont="1" applyFill="1" applyBorder="1" applyAlignment="1">
      <alignment horizontal="right" vertical="center" wrapText="1"/>
    </xf>
    <xf numFmtId="9" fontId="4" fillId="3" borderId="1" xfId="5" applyFont="1" applyFill="1" applyBorder="1" applyAlignment="1">
      <alignment horizontal="right" vertical="center" wrapText="1"/>
    </xf>
    <xf numFmtId="9" fontId="4" fillId="4" borderId="1" xfId="5" applyFont="1" applyFill="1" applyBorder="1" applyAlignment="1">
      <alignment horizontal="right" vertical="center" wrapText="1"/>
    </xf>
    <xf numFmtId="9" fontId="4" fillId="5" borderId="1" xfId="5" applyFont="1" applyFill="1" applyBorder="1" applyAlignment="1">
      <alignment horizontal="right" vertical="center" wrapText="1"/>
    </xf>
    <xf numFmtId="9" fontId="4" fillId="6" borderId="1" xfId="5" applyFont="1" applyFill="1" applyBorder="1" applyAlignment="1">
      <alignment horizontal="right" vertical="center" wrapText="1"/>
    </xf>
    <xf numFmtId="9" fontId="0" fillId="0" borderId="0" xfId="5" applyFont="1" applyAlignment="1">
      <alignment horizontal="right"/>
    </xf>
    <xf numFmtId="9" fontId="10" fillId="0" borderId="0" xfId="5" applyFont="1" applyAlignment="1">
      <alignment horizontal="right"/>
    </xf>
    <xf numFmtId="0" fontId="10" fillId="0" borderId="0" xfId="0" applyFont="1"/>
    <xf numFmtId="0" fontId="10" fillId="0" borderId="0" xfId="0" applyFont="1" applyAlignment="1">
      <alignment horizontal="right"/>
    </xf>
    <xf numFmtId="0" fontId="4" fillId="3" borderId="2" xfId="0" applyFont="1" applyFill="1" applyBorder="1" applyAlignment="1">
      <alignment horizontal="right" vertical="center" wrapText="1"/>
    </xf>
    <xf numFmtId="9" fontId="4" fillId="3" borderId="2" xfId="5" applyFont="1" applyFill="1" applyBorder="1" applyAlignment="1">
      <alignment horizontal="right" vertical="center" wrapText="1"/>
    </xf>
    <xf numFmtId="3" fontId="4" fillId="5" borderId="1" xfId="0" applyNumberFormat="1" applyFont="1" applyFill="1" applyBorder="1" applyAlignment="1">
      <alignment horizontal="right" vertical="center" wrapText="1"/>
    </xf>
    <xf numFmtId="9" fontId="4" fillId="8" borderId="3" xfId="5" applyFont="1" applyFill="1" applyBorder="1" applyAlignment="1">
      <alignment horizontal="center" vertical="center" wrapText="1"/>
    </xf>
    <xf numFmtId="9" fontId="4" fillId="8" borderId="2" xfId="5" applyFont="1" applyFill="1" applyBorder="1" applyAlignment="1">
      <alignment horizontal="center" vertical="center" wrapText="1"/>
    </xf>
    <xf numFmtId="9" fontId="4" fillId="8" borderId="1" xfId="5" applyFont="1" applyFill="1" applyBorder="1" applyAlignment="1">
      <alignment horizontal="center" vertical="center" wrapText="1"/>
    </xf>
    <xf numFmtId="10" fontId="4" fillId="8" borderId="1" xfId="5" applyNumberFormat="1" applyFont="1" applyFill="1" applyBorder="1" applyAlignment="1">
      <alignment horizontal="center" vertical="center" wrapText="1"/>
    </xf>
    <xf numFmtId="9" fontId="11" fillId="8" borderId="4" xfId="5" applyFont="1" applyFill="1" applyBorder="1" applyAlignment="1">
      <alignment horizontal="center" vertical="center" wrapText="1"/>
    </xf>
    <xf numFmtId="9" fontId="8" fillId="8" borderId="2" xfId="5" applyNumberFormat="1" applyFont="1" applyFill="1" applyBorder="1" applyAlignment="1">
      <alignment horizontal="center" vertical="center" wrapText="1"/>
    </xf>
    <xf numFmtId="9" fontId="8" fillId="8" borderId="1" xfId="5" applyNumberFormat="1" applyFont="1" applyFill="1" applyBorder="1" applyAlignment="1">
      <alignment horizontal="center" vertical="center" wrapText="1"/>
    </xf>
    <xf numFmtId="0" fontId="11" fillId="12" borderId="4" xfId="0" applyFont="1" applyFill="1" applyBorder="1" applyAlignment="1">
      <alignment horizontal="center" vertical="center" wrapText="1"/>
    </xf>
    <xf numFmtId="3" fontId="8" fillId="12" borderId="2" xfId="0" applyNumberFormat="1" applyFont="1" applyFill="1" applyBorder="1" applyAlignment="1">
      <alignment horizontal="center" vertical="center" wrapText="1"/>
    </xf>
    <xf numFmtId="3" fontId="8" fillId="12" borderId="1" xfId="0" applyNumberFormat="1" applyFont="1" applyFill="1" applyBorder="1" applyAlignment="1">
      <alignment horizontal="center" vertical="center" wrapText="1"/>
    </xf>
    <xf numFmtId="0" fontId="8" fillId="12" borderId="1" xfId="0" applyFont="1" applyFill="1" applyBorder="1" applyAlignment="1">
      <alignment horizontal="center" vertical="center" wrapText="1"/>
    </xf>
    <xf numFmtId="3" fontId="12" fillId="12" borderId="1" xfId="0" applyNumberFormat="1" applyFont="1" applyFill="1" applyBorder="1" applyAlignment="1">
      <alignment horizontal="center" vertical="center" wrapText="1"/>
    </xf>
    <xf numFmtId="1" fontId="8" fillId="12" borderId="1" xfId="1" applyNumberFormat="1" applyFont="1" applyFill="1" applyBorder="1" applyAlignment="1">
      <alignment horizontal="center" vertical="center" wrapText="1"/>
    </xf>
    <xf numFmtId="9" fontId="4" fillId="12" borderId="1" xfId="5" applyFont="1" applyFill="1" applyBorder="1" applyAlignment="1">
      <alignment horizontal="center" vertical="center" wrapText="1"/>
    </xf>
    <xf numFmtId="9" fontId="4" fillId="12" borderId="2" xfId="5" applyFont="1" applyFill="1" applyBorder="1" applyAlignment="1">
      <alignment horizontal="center" vertical="center" wrapText="1"/>
    </xf>
    <xf numFmtId="3" fontId="4" fillId="12" borderId="1" xfId="0" applyNumberFormat="1" applyFont="1" applyFill="1" applyBorder="1" applyAlignment="1">
      <alignment horizontal="right" vertical="center" wrapText="1"/>
    </xf>
    <xf numFmtId="41" fontId="4" fillId="12" borderId="1" xfId="4" applyFont="1" applyFill="1" applyBorder="1" applyAlignment="1">
      <alignment horizontal="right" vertical="center" wrapText="1"/>
    </xf>
    <xf numFmtId="164" fontId="4" fillId="12" borderId="1" xfId="0" applyNumberFormat="1" applyFont="1" applyFill="1" applyBorder="1" applyAlignment="1">
      <alignment horizontal="right" vertical="center" wrapText="1"/>
    </xf>
    <xf numFmtId="1" fontId="4" fillId="12" borderId="1" xfId="4" applyNumberFormat="1" applyFont="1" applyFill="1" applyBorder="1" applyAlignment="1">
      <alignment horizontal="right" vertical="center" wrapText="1"/>
    </xf>
    <xf numFmtId="0" fontId="4" fillId="12" borderId="1" xfId="0" applyFont="1" applyFill="1" applyBorder="1" applyAlignment="1">
      <alignment horizontal="right" vertical="center" wrapText="1"/>
    </xf>
    <xf numFmtId="0" fontId="7" fillId="7" borderId="4" xfId="0" applyFont="1" applyFill="1" applyBorder="1" applyAlignment="1">
      <alignment horizontal="center" vertical="center" wrapText="1"/>
    </xf>
    <xf numFmtId="0" fontId="7" fillId="7" borderId="4" xfId="0" applyFont="1" applyFill="1" applyBorder="1" applyAlignment="1">
      <alignment horizontal="right" vertical="center" wrapText="1"/>
    </xf>
    <xf numFmtId="9" fontId="7" fillId="8" borderId="4" xfId="5" applyFont="1" applyFill="1" applyBorder="1" applyAlignment="1">
      <alignment horizontal="center" vertical="center" wrapText="1"/>
    </xf>
    <xf numFmtId="0" fontId="7" fillId="12" borderId="4" xfId="0" applyFont="1" applyFill="1" applyBorder="1" applyAlignment="1">
      <alignment horizontal="center" vertical="center" wrapText="1"/>
    </xf>
    <xf numFmtId="0" fontId="8" fillId="12" borderId="1" xfId="0" applyFont="1" applyFill="1" applyBorder="1" applyAlignment="1">
      <alignment horizontal="center" vertical="center" wrapText="1"/>
    </xf>
    <xf numFmtId="3" fontId="8" fillId="12" borderId="1" xfId="0" applyNumberFormat="1" applyFont="1" applyFill="1" applyBorder="1" applyAlignment="1">
      <alignment horizontal="center" vertical="center" wrapText="1"/>
    </xf>
    <xf numFmtId="3" fontId="8" fillId="12" borderId="2" xfId="0" applyNumberFormat="1" applyFont="1" applyFill="1" applyBorder="1" applyAlignment="1">
      <alignment horizontal="center" vertical="center" wrapText="1"/>
    </xf>
    <xf numFmtId="1" fontId="4" fillId="12" borderId="1" xfId="1" applyNumberFormat="1" applyFont="1" applyFill="1" applyBorder="1" applyAlignment="1">
      <alignment horizontal="right" vertical="center" wrapText="1"/>
    </xf>
    <xf numFmtId="0" fontId="14" fillId="5" borderId="1" xfId="0" applyFont="1" applyFill="1" applyBorder="1" applyAlignment="1">
      <alignment horizontal="left" vertical="center" wrapText="1"/>
    </xf>
    <xf numFmtId="3" fontId="14" fillId="5" borderId="1" xfId="0" applyNumberFormat="1" applyFont="1" applyFill="1" applyBorder="1" applyAlignment="1">
      <alignment horizontal="left" vertical="center" wrapText="1"/>
    </xf>
    <xf numFmtId="3" fontId="14" fillId="5" borderId="1" xfId="0" applyNumberFormat="1" applyFont="1" applyFill="1" applyBorder="1" applyAlignment="1">
      <alignment horizontal="right" vertical="center" wrapText="1"/>
    </xf>
    <xf numFmtId="0" fontId="4" fillId="12" borderId="2" xfId="0" applyFont="1" applyFill="1" applyBorder="1" applyAlignment="1">
      <alignment horizontal="right" vertical="center" wrapText="1"/>
    </xf>
    <xf numFmtId="9" fontId="0" fillId="0" borderId="0" xfId="5" applyFont="1"/>
    <xf numFmtId="0" fontId="4" fillId="3" borderId="2" xfId="0" applyFont="1" applyFill="1" applyBorder="1" applyAlignment="1">
      <alignment horizontal="right" vertical="center" wrapText="1"/>
    </xf>
    <xf numFmtId="0" fontId="10" fillId="0" borderId="0" xfId="0" applyFont="1" applyBorder="1" applyAlignment="1">
      <alignment horizontal="center" vertical="center" wrapText="1"/>
    </xf>
    <xf numFmtId="0" fontId="13" fillId="0" borderId="0" xfId="0" applyFont="1" applyBorder="1" applyAlignment="1">
      <alignment horizontal="right" wrapText="1"/>
    </xf>
    <xf numFmtId="9" fontId="0" fillId="0" borderId="0" xfId="5" applyFont="1" applyBorder="1" applyAlignment="1">
      <alignment horizontal="right"/>
    </xf>
    <xf numFmtId="9" fontId="10" fillId="0" borderId="0" xfId="5" applyFont="1" applyBorder="1" applyAlignment="1">
      <alignment horizontal="center" vertical="center"/>
    </xf>
    <xf numFmtId="9" fontId="6" fillId="0" borderId="5" xfId="5" applyFont="1" applyBorder="1" applyAlignment="1">
      <alignment horizontal="center" vertical="center" wrapText="1"/>
    </xf>
    <xf numFmtId="9" fontId="6" fillId="0" borderId="6" xfId="5" applyFont="1" applyBorder="1" applyAlignment="1">
      <alignment horizontal="center" vertical="center"/>
    </xf>
    <xf numFmtId="9" fontId="6" fillId="0" borderId="6" xfId="0" applyNumberFormat="1" applyFont="1" applyBorder="1" applyAlignment="1">
      <alignment horizontal="center" vertical="center"/>
    </xf>
    <xf numFmtId="9" fontId="6" fillId="0" borderId="6" xfId="0" applyNumberFormat="1" applyFont="1" applyBorder="1" applyAlignment="1">
      <alignment horizontal="center" vertical="center" wrapText="1"/>
    </xf>
    <xf numFmtId="3" fontId="6" fillId="0" borderId="0" xfId="0" applyNumberFormat="1" applyFont="1" applyBorder="1"/>
    <xf numFmtId="9" fontId="10" fillId="0" borderId="0" xfId="5" applyFont="1" applyBorder="1"/>
    <xf numFmtId="3" fontId="10" fillId="0" borderId="0" xfId="0" applyNumberFormat="1" applyFont="1" applyBorder="1" applyAlignment="1">
      <alignment wrapText="1"/>
    </xf>
    <xf numFmtId="0" fontId="4" fillId="3" borderId="13" xfId="0" applyFont="1" applyFill="1" applyBorder="1" applyAlignment="1">
      <alignment vertical="center" wrapText="1"/>
    </xf>
    <xf numFmtId="1" fontId="4" fillId="12" borderId="14" xfId="4" applyNumberFormat="1" applyFont="1" applyFill="1" applyBorder="1" applyAlignment="1">
      <alignment horizontal="right" vertical="center" wrapText="1"/>
    </xf>
    <xf numFmtId="41" fontId="4" fillId="3" borderId="2" xfId="4" applyFont="1" applyFill="1" applyBorder="1" applyAlignment="1">
      <alignment horizontal="right" vertical="center" wrapText="1"/>
    </xf>
    <xf numFmtId="1" fontId="4" fillId="3" borderId="1" xfId="4" applyNumberFormat="1" applyFont="1" applyFill="1" applyBorder="1" applyAlignment="1">
      <alignment horizontal="right" vertical="center" wrapText="1"/>
    </xf>
    <xf numFmtId="0" fontId="6" fillId="0" borderId="15" xfId="0" applyFont="1" applyBorder="1" applyAlignment="1">
      <alignment horizontal="center" wrapText="1"/>
    </xf>
    <xf numFmtId="9" fontId="6" fillId="0" borderId="16" xfId="5" applyFont="1" applyBorder="1" applyAlignment="1">
      <alignment horizontal="center" vertical="center"/>
    </xf>
    <xf numFmtId="3" fontId="6" fillId="0" borderId="6" xfId="0" applyNumberFormat="1" applyFont="1" applyBorder="1" applyAlignment="1">
      <alignment vertical="center"/>
    </xf>
    <xf numFmtId="41" fontId="4" fillId="12" borderId="2" xfId="4" applyFont="1" applyFill="1" applyBorder="1" applyAlignment="1">
      <alignment horizontal="center" vertical="center" wrapText="1"/>
    </xf>
    <xf numFmtId="41" fontId="4" fillId="12" borderId="4" xfId="4"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8" fillId="12" borderId="1" xfId="0" applyFont="1" applyFill="1" applyBorder="1" applyAlignment="1">
      <alignment horizontal="center" vertical="center" wrapText="1"/>
    </xf>
    <xf numFmtId="3" fontId="8" fillId="12" borderId="1" xfId="0" applyNumberFormat="1" applyFont="1" applyFill="1" applyBorder="1" applyAlignment="1">
      <alignment horizontal="center" vertical="center" wrapText="1"/>
    </xf>
    <xf numFmtId="3" fontId="8" fillId="12" borderId="2" xfId="0" applyNumberFormat="1" applyFont="1" applyFill="1" applyBorder="1" applyAlignment="1">
      <alignment horizontal="center" vertical="center" wrapText="1"/>
    </xf>
    <xf numFmtId="3" fontId="8" fillId="12" borderId="3" xfId="0" applyNumberFormat="1" applyFont="1" applyFill="1" applyBorder="1" applyAlignment="1">
      <alignment horizontal="center" vertical="center" wrapText="1"/>
    </xf>
    <xf numFmtId="3" fontId="8" fillId="12" borderId="4" xfId="0" applyNumberFormat="1" applyFont="1" applyFill="1" applyBorder="1" applyAlignment="1">
      <alignment horizontal="center" vertical="center" wrapText="1"/>
    </xf>
    <xf numFmtId="3" fontId="12" fillId="12" borderId="2" xfId="0" applyNumberFormat="1" applyFont="1" applyFill="1" applyBorder="1" applyAlignment="1">
      <alignment horizontal="center" vertical="center" wrapText="1"/>
    </xf>
    <xf numFmtId="3" fontId="12" fillId="12" borderId="4" xfId="0" applyNumberFormat="1" applyFont="1" applyFill="1" applyBorder="1" applyAlignment="1">
      <alignment horizontal="center" vertical="center" wrapText="1"/>
    </xf>
    <xf numFmtId="0" fontId="8" fillId="12" borderId="4" xfId="0" applyFont="1" applyFill="1" applyBorder="1" applyAlignment="1">
      <alignment horizontal="center" vertical="center" wrapText="1"/>
    </xf>
    <xf numFmtId="0" fontId="0" fillId="12" borderId="2" xfId="0" applyFont="1" applyFill="1" applyBorder="1" applyAlignment="1">
      <alignment horizontal="center" vertical="center" wrapText="1"/>
    </xf>
    <xf numFmtId="0" fontId="0" fillId="12" borderId="4" xfId="0" applyFont="1" applyFill="1" applyBorder="1" applyAlignment="1">
      <alignment horizontal="center" vertical="center" wrapText="1"/>
    </xf>
    <xf numFmtId="9" fontId="8" fillId="8" borderId="1" xfId="5" applyFont="1" applyFill="1" applyBorder="1" applyAlignment="1">
      <alignment horizontal="center" vertical="center" wrapText="1"/>
    </xf>
    <xf numFmtId="9" fontId="8" fillId="8" borderId="2" xfId="5" applyFont="1" applyFill="1" applyBorder="1" applyAlignment="1">
      <alignment horizontal="center" vertical="center" wrapText="1"/>
    </xf>
    <xf numFmtId="9" fontId="8" fillId="8" borderId="1" xfId="5" applyNumberFormat="1" applyFont="1" applyFill="1" applyBorder="1" applyAlignment="1">
      <alignment horizontal="center" vertical="center" wrapText="1"/>
    </xf>
    <xf numFmtId="9" fontId="4" fillId="8" borderId="2" xfId="5" applyFont="1" applyFill="1" applyBorder="1" applyAlignment="1">
      <alignment horizontal="center" vertical="center" wrapText="1"/>
    </xf>
    <xf numFmtId="9" fontId="4" fillId="8" borderId="4" xfId="5" applyFont="1" applyFill="1" applyBorder="1" applyAlignment="1">
      <alignment horizontal="center" vertical="center" wrapText="1"/>
    </xf>
    <xf numFmtId="9" fontId="4" fillId="8" borderId="3" xfId="5" applyFont="1" applyFill="1" applyBorder="1" applyAlignment="1">
      <alignment horizontal="center" vertical="center" wrapText="1"/>
    </xf>
    <xf numFmtId="9" fontId="8" fillId="8" borderId="2" xfId="5" applyNumberFormat="1" applyFont="1" applyFill="1" applyBorder="1" applyAlignment="1">
      <alignment horizontal="center" vertical="center" wrapText="1"/>
    </xf>
    <xf numFmtId="9" fontId="8" fillId="8" borderId="3" xfId="5" applyNumberFormat="1" applyFont="1" applyFill="1" applyBorder="1" applyAlignment="1">
      <alignment horizontal="center" vertical="center" wrapText="1"/>
    </xf>
    <xf numFmtId="9" fontId="8" fillId="8" borderId="4" xfId="5" applyNumberFormat="1" applyFont="1" applyFill="1" applyBorder="1" applyAlignment="1">
      <alignment horizontal="center" vertical="center" wrapText="1"/>
    </xf>
    <xf numFmtId="9" fontId="8" fillId="8" borderId="3" xfId="5" applyFont="1" applyFill="1" applyBorder="1" applyAlignment="1">
      <alignment horizontal="center" vertical="center" wrapText="1"/>
    </xf>
    <xf numFmtId="9" fontId="8" fillId="8" borderId="4" xfId="5" applyFont="1" applyFill="1" applyBorder="1" applyAlignment="1">
      <alignment horizontal="center" vertical="center" wrapText="1"/>
    </xf>
    <xf numFmtId="9" fontId="4" fillId="12" borderId="2" xfId="5" applyFont="1" applyFill="1" applyBorder="1" applyAlignment="1">
      <alignment horizontal="center" vertical="center" wrapText="1"/>
    </xf>
    <xf numFmtId="9" fontId="4" fillId="12" borderId="3" xfId="5" applyFont="1" applyFill="1" applyBorder="1" applyAlignment="1">
      <alignment horizontal="center" vertical="center" wrapText="1"/>
    </xf>
    <xf numFmtId="9" fontId="4" fillId="12" borderId="4" xfId="5" applyFont="1" applyFill="1" applyBorder="1" applyAlignment="1">
      <alignment horizontal="center" vertical="center" wrapText="1"/>
    </xf>
    <xf numFmtId="0" fontId="4" fillId="3" borderId="2" xfId="0" applyFont="1" applyFill="1" applyBorder="1" applyAlignment="1">
      <alignment horizontal="right" vertical="center" wrapText="1"/>
    </xf>
    <xf numFmtId="0" fontId="4" fillId="3" borderId="4" xfId="0" applyFont="1" applyFill="1" applyBorder="1" applyAlignment="1">
      <alignment horizontal="right" vertical="center" wrapText="1"/>
    </xf>
    <xf numFmtId="3" fontId="4" fillId="2" borderId="2" xfId="0" applyNumberFormat="1" applyFont="1" applyFill="1" applyBorder="1" applyAlignment="1">
      <alignment horizontal="right" vertical="center" wrapText="1"/>
    </xf>
    <xf numFmtId="3" fontId="4" fillId="2" borderId="4" xfId="0" applyNumberFormat="1" applyFont="1" applyFill="1" applyBorder="1" applyAlignment="1">
      <alignment horizontal="right" vertical="center" wrapText="1"/>
    </xf>
    <xf numFmtId="0" fontId="4" fillId="2" borderId="2" xfId="0" applyFont="1" applyFill="1" applyBorder="1" applyAlignment="1">
      <alignment horizontal="right" vertical="center" wrapText="1"/>
    </xf>
    <xf numFmtId="0" fontId="4" fillId="2" borderId="4" xfId="0" applyFont="1" applyFill="1" applyBorder="1" applyAlignment="1">
      <alignment horizontal="right" vertical="center" wrapText="1"/>
    </xf>
    <xf numFmtId="3" fontId="4" fillId="4" borderId="2" xfId="0" applyNumberFormat="1" applyFont="1" applyFill="1" applyBorder="1" applyAlignment="1">
      <alignment horizontal="right" vertical="center" wrapText="1"/>
    </xf>
    <xf numFmtId="3" fontId="4" fillId="4" borderId="3" xfId="0" applyNumberFormat="1" applyFont="1" applyFill="1" applyBorder="1" applyAlignment="1">
      <alignment horizontal="right" vertical="center" wrapText="1"/>
    </xf>
    <xf numFmtId="3" fontId="4" fillId="4" borderId="4" xfId="0" applyNumberFormat="1" applyFont="1" applyFill="1" applyBorder="1" applyAlignment="1">
      <alignment horizontal="right" vertical="center" wrapText="1"/>
    </xf>
    <xf numFmtId="3" fontId="4" fillId="5" borderId="2"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wrapText="1"/>
    </xf>
    <xf numFmtId="3" fontId="4" fillId="5" borderId="4" xfId="0" applyNumberFormat="1" applyFont="1" applyFill="1" applyBorder="1" applyAlignment="1">
      <alignment horizontal="right" vertical="center" wrapText="1"/>
    </xf>
    <xf numFmtId="0" fontId="4" fillId="3" borderId="3" xfId="0" applyFont="1" applyFill="1" applyBorder="1" applyAlignment="1">
      <alignment horizontal="right" vertical="center" wrapText="1"/>
    </xf>
    <xf numFmtId="9" fontId="4" fillId="4" borderId="2" xfId="5" applyFont="1" applyFill="1" applyBorder="1" applyAlignment="1">
      <alignment horizontal="right" vertical="center" wrapText="1"/>
    </xf>
    <xf numFmtId="9" fontId="4" fillId="4" borderId="3" xfId="5" applyFont="1" applyFill="1" applyBorder="1" applyAlignment="1">
      <alignment horizontal="right" vertical="center" wrapText="1"/>
    </xf>
    <xf numFmtId="9" fontId="4" fillId="4" borderId="4" xfId="5" applyFont="1" applyFill="1" applyBorder="1" applyAlignment="1">
      <alignment horizontal="right" vertical="center" wrapText="1"/>
    </xf>
    <xf numFmtId="9" fontId="4" fillId="5" borderId="2" xfId="5" applyFont="1" applyFill="1" applyBorder="1" applyAlignment="1">
      <alignment horizontal="right" vertical="center" wrapText="1"/>
    </xf>
    <xf numFmtId="9" fontId="4" fillId="5" borderId="3" xfId="5" applyFont="1" applyFill="1" applyBorder="1" applyAlignment="1">
      <alignment horizontal="right" vertical="center" wrapText="1"/>
    </xf>
    <xf numFmtId="9" fontId="4" fillId="5" borderId="4" xfId="5" applyFont="1" applyFill="1" applyBorder="1" applyAlignment="1">
      <alignment horizontal="right" vertical="center" wrapText="1"/>
    </xf>
    <xf numFmtId="9" fontId="4" fillId="3" borderId="2" xfId="5" applyFont="1" applyFill="1" applyBorder="1" applyAlignment="1">
      <alignment horizontal="right" vertical="center" wrapText="1"/>
    </xf>
    <xf numFmtId="9" fontId="4" fillId="3" borderId="4" xfId="5" applyFont="1" applyFill="1" applyBorder="1" applyAlignment="1">
      <alignment horizontal="right" vertical="center" wrapText="1"/>
    </xf>
    <xf numFmtId="9" fontId="4" fillId="3" borderId="3" xfId="5" applyFont="1" applyFill="1" applyBorder="1" applyAlignment="1">
      <alignment horizontal="right" vertical="center" wrapText="1"/>
    </xf>
    <xf numFmtId="3" fontId="4" fillId="5" borderId="1" xfId="0" applyNumberFormat="1" applyFont="1" applyFill="1" applyBorder="1" applyAlignment="1">
      <alignment horizontal="right" vertical="center" wrapText="1"/>
    </xf>
    <xf numFmtId="3" fontId="12" fillId="12" borderId="3" xfId="0" applyNumberFormat="1"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4" xfId="0" applyFont="1" applyFill="1" applyBorder="1" applyAlignment="1">
      <alignment horizontal="left" vertical="center" wrapText="1"/>
    </xf>
    <xf numFmtId="41" fontId="4" fillId="3" borderId="2" xfId="4" applyFont="1" applyFill="1" applyBorder="1" applyAlignment="1">
      <alignment horizontal="center" vertical="center" wrapText="1"/>
    </xf>
    <xf numFmtId="41" fontId="4" fillId="3" borderId="4" xfId="4"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10" fontId="4" fillId="8" borderId="2" xfId="5" applyNumberFormat="1" applyFont="1" applyFill="1" applyBorder="1" applyAlignment="1">
      <alignment horizontal="center" vertical="center" wrapText="1"/>
    </xf>
    <xf numFmtId="10" fontId="4" fillId="8" borderId="4" xfId="5"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10" fontId="4" fillId="8" borderId="3" xfId="5" applyNumberFormat="1" applyFont="1" applyFill="1" applyBorder="1" applyAlignment="1">
      <alignment horizontal="center" vertical="center" wrapText="1"/>
    </xf>
    <xf numFmtId="9" fontId="4" fillId="2" borderId="2" xfId="5" applyFont="1" applyFill="1" applyBorder="1" applyAlignment="1">
      <alignment horizontal="right" vertical="center" wrapText="1"/>
    </xf>
    <xf numFmtId="9" fontId="4" fillId="2" borderId="4" xfId="5" applyFont="1" applyFill="1" applyBorder="1" applyAlignment="1">
      <alignment horizontal="right" vertical="center" wrapText="1"/>
    </xf>
    <xf numFmtId="0" fontId="4" fillId="3" borderId="1" xfId="0" applyFont="1" applyFill="1" applyBorder="1" applyAlignment="1">
      <alignment horizontal="right" vertical="center" wrapText="1"/>
    </xf>
    <xf numFmtId="9" fontId="4" fillId="8" borderId="1" xfId="5" applyFont="1" applyFill="1" applyBorder="1" applyAlignment="1">
      <alignment horizontal="center" vertical="center" wrapText="1"/>
    </xf>
  </cellXfs>
  <cellStyles count="6">
    <cellStyle name="Millares" xfId="1" builtinId="3"/>
    <cellStyle name="Millares [0]" xfId="4" builtinId="6"/>
    <cellStyle name="Millares 2" xfId="3"/>
    <cellStyle name="Normal" xfId="0" builtinId="0"/>
    <cellStyle name="Normal 2" xfId="2"/>
    <cellStyle name="Porcentaje" xfId="5" builtinId="5"/>
  </cellStyles>
  <dxfs count="0"/>
  <tableStyles count="0" defaultTableStyle="TableStyleMedium2" defaultPivotStyle="PivotStyleLight16"/>
  <colors>
    <mruColors>
      <color rgb="FFCCCCFF"/>
      <color rgb="FFCCECFF"/>
      <color rgb="FFDAE1F2"/>
      <color rgb="FFD9E1F2"/>
      <color rgb="FFFFFFFF"/>
      <color rgb="FFFFFF99"/>
      <color rgb="FFCC99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val>
            <c:numRef>
              <c:f>'FORMATO NUEVO IDER 2020 '!$Y$25:$Y$28</c:f>
              <c:numCache>
                <c:formatCode>#,##0</c:formatCode>
                <c:ptCount val="4"/>
                <c:pt idx="0">
                  <c:v>24984.400000000001</c:v>
                </c:pt>
              </c:numCache>
            </c:numRef>
          </c:val>
          <c:extLst>
            <c:ext xmlns:c16="http://schemas.microsoft.com/office/drawing/2014/chart" uri="{C3380CC4-5D6E-409C-BE32-E72D297353CC}">
              <c16:uniqueId val="{00000000-89BE-43DD-AC56-D8147B0DDAAC}"/>
            </c:ext>
          </c:extLst>
        </c:ser>
        <c:dLbls>
          <c:showLegendKey val="0"/>
          <c:showVal val="0"/>
          <c:showCatName val="0"/>
          <c:showSerName val="0"/>
          <c:showPercent val="0"/>
          <c:showBubbleSize val="0"/>
        </c:dLbls>
        <c:gapWidth val="219"/>
        <c:overlap val="-27"/>
        <c:axId val="1667944496"/>
        <c:axId val="1667942864"/>
      </c:barChart>
      <c:catAx>
        <c:axId val="1667944496"/>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7942864"/>
        <c:crosses val="autoZero"/>
        <c:auto val="1"/>
        <c:lblAlgn val="ctr"/>
        <c:lblOffset val="100"/>
        <c:noMultiLvlLbl val="0"/>
      </c:catAx>
      <c:valAx>
        <c:axId val="16679428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7944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0"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2750" cy="6080125"/>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editAs="oneCell">
    <xdr:from>
      <xdr:col>1</xdr:col>
      <xdr:colOff>174896</xdr:colOff>
      <xdr:row>1</xdr:row>
      <xdr:rowOff>220153</xdr:rowOff>
    </xdr:from>
    <xdr:to>
      <xdr:col>2</xdr:col>
      <xdr:colOff>1727416</xdr:colOff>
      <xdr:row>2</xdr:row>
      <xdr:rowOff>532755</xdr:rowOff>
    </xdr:to>
    <xdr:pic>
      <xdr:nvPicPr>
        <xdr:cNvPr id="3" name="Imagen 2">
          <a:extLst>
            <a:ext uri="{FF2B5EF4-FFF2-40B4-BE49-F238E27FC236}">
              <a16:creationId xmlns:a16="http://schemas.microsoft.com/office/drawing/2014/main" id="{0EFA0F45-F276-472C-83F7-B40C4A2E5FFE}"/>
            </a:ext>
          </a:extLst>
        </xdr:cNvPr>
        <xdr:cNvPicPr>
          <a:picLocks noChangeAspect="1"/>
        </xdr:cNvPicPr>
      </xdr:nvPicPr>
      <xdr:blipFill rotWithShape="1">
        <a:blip xmlns:r="http://schemas.openxmlformats.org/officeDocument/2006/relationships" r:embed="rId1"/>
        <a:srcRect r="85166" b="3713"/>
        <a:stretch/>
      </xdr:blipFill>
      <xdr:spPr>
        <a:xfrm>
          <a:off x="2047608" y="865916"/>
          <a:ext cx="3425232" cy="958364"/>
        </a:xfrm>
        <a:prstGeom prst="rect">
          <a:avLst/>
        </a:prstGeom>
      </xdr:spPr>
    </xdr:pic>
    <xdr:clientData/>
  </xdr:twoCellAnchor>
  <xdr:oneCellAnchor>
    <xdr:from>
      <xdr:col>41</xdr:col>
      <xdr:colOff>5238303</xdr:colOff>
      <xdr:row>1</xdr:row>
      <xdr:rowOff>273844</xdr:rowOff>
    </xdr:from>
    <xdr:ext cx="6437991" cy="901243"/>
    <xdr:pic>
      <xdr:nvPicPr>
        <xdr:cNvPr id="4" name="Imagen 3">
          <a:extLst>
            <a:ext uri="{FF2B5EF4-FFF2-40B4-BE49-F238E27FC236}">
              <a16:creationId xmlns:a16="http://schemas.microsoft.com/office/drawing/2014/main" id="{A443302A-B62F-41A9-8B56-50648461784E}"/>
            </a:ext>
          </a:extLst>
        </xdr:cNvPr>
        <xdr:cNvPicPr>
          <a:picLocks noChangeAspect="1"/>
        </xdr:cNvPicPr>
      </xdr:nvPicPr>
      <xdr:blipFill rotWithShape="1">
        <a:blip xmlns:r="http://schemas.openxmlformats.org/officeDocument/2006/relationships" r:embed="rId1"/>
        <a:srcRect l="86467" t="8586"/>
        <a:stretch/>
      </xdr:blipFill>
      <xdr:spPr>
        <a:xfrm>
          <a:off x="83652866" y="916782"/>
          <a:ext cx="6437991" cy="901243"/>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56"/>
  <sheetViews>
    <sheetView tabSelected="1" zoomScale="60" zoomScaleNormal="60" workbookViewId="0">
      <selection activeCell="A5" sqref="A5"/>
    </sheetView>
  </sheetViews>
  <sheetFormatPr baseColWidth="10" defaultColWidth="28" defaultRowHeight="51" customHeight="1" x14ac:dyDescent="0.25"/>
  <cols>
    <col min="8" max="8" width="28" customWidth="1"/>
    <col min="9" max="9" width="28" style="76" customWidth="1"/>
    <col min="10" max="10" width="28" customWidth="1"/>
    <col min="11" max="13" width="28" style="76" customWidth="1"/>
    <col min="14" max="16" width="28" style="82" customWidth="1"/>
    <col min="17" max="17" width="23.140625" style="82" customWidth="1"/>
    <col min="18" max="20" width="28" style="82" customWidth="1"/>
    <col min="21" max="24" width="28" customWidth="1"/>
    <col min="25" max="27" width="28" style="76" customWidth="1"/>
    <col min="28" max="33" width="28" customWidth="1"/>
    <col min="35" max="35" width="21.42578125" customWidth="1"/>
    <col min="37" max="37" width="28" customWidth="1"/>
    <col min="38" max="38" width="42.140625" customWidth="1"/>
    <col min="39" max="39" width="47.42578125" customWidth="1"/>
    <col min="40" max="40" width="29.140625" customWidth="1"/>
    <col min="41" max="41" width="31.42578125" customWidth="1"/>
    <col min="42" max="42" width="137.140625" customWidth="1"/>
    <col min="43" max="43" width="164" style="61" customWidth="1"/>
    <col min="44" max="44" width="28" style="61"/>
    <col min="45" max="45" width="185.7109375" style="61" customWidth="1"/>
    <col min="46" max="46" width="28" style="71"/>
    <col min="47" max="53" width="28" style="61"/>
  </cols>
  <sheetData>
    <row r="1" spans="2:53" ht="51" customHeight="1" thickBot="1" x14ac:dyDescent="0.3"/>
    <row r="2" spans="2:53" ht="51" customHeight="1" x14ac:dyDescent="0.25">
      <c r="B2" s="143" t="s">
        <v>146</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5"/>
    </row>
    <row r="3" spans="2:53" ht="51" customHeight="1" thickBot="1" x14ac:dyDescent="0.3">
      <c r="B3" s="146"/>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8"/>
    </row>
    <row r="4" spans="2:53" ht="81" customHeight="1" x14ac:dyDescent="0.25">
      <c r="B4" s="109" t="s">
        <v>15</v>
      </c>
      <c r="C4" s="109" t="s">
        <v>16</v>
      </c>
      <c r="D4" s="109" t="s">
        <v>17</v>
      </c>
      <c r="E4" s="109" t="s">
        <v>18</v>
      </c>
      <c r="F4" s="109" t="s">
        <v>19</v>
      </c>
      <c r="G4" s="109" t="s">
        <v>20</v>
      </c>
      <c r="H4" s="109" t="s">
        <v>21</v>
      </c>
      <c r="I4" s="110" t="s">
        <v>18</v>
      </c>
      <c r="J4" s="109" t="s">
        <v>22</v>
      </c>
      <c r="K4" s="110" t="s">
        <v>23</v>
      </c>
      <c r="L4" s="110" t="s">
        <v>0</v>
      </c>
      <c r="M4" s="110" t="s">
        <v>145</v>
      </c>
      <c r="N4" s="111" t="s">
        <v>258</v>
      </c>
      <c r="O4" s="111" t="s">
        <v>249</v>
      </c>
      <c r="P4" s="111" t="s">
        <v>287</v>
      </c>
      <c r="Q4" s="96" t="s">
        <v>254</v>
      </c>
      <c r="R4" s="93" t="s">
        <v>255</v>
      </c>
      <c r="S4" s="93" t="s">
        <v>256</v>
      </c>
      <c r="T4" s="93" t="s">
        <v>257</v>
      </c>
      <c r="U4" s="109" t="s">
        <v>1</v>
      </c>
      <c r="V4" s="109" t="s">
        <v>27</v>
      </c>
      <c r="W4" s="109" t="s">
        <v>2</v>
      </c>
      <c r="X4" s="109" t="s">
        <v>3</v>
      </c>
      <c r="Y4" s="109" t="s">
        <v>4</v>
      </c>
      <c r="Z4" s="110" t="s">
        <v>145</v>
      </c>
      <c r="AA4" s="112" t="s">
        <v>253</v>
      </c>
      <c r="AB4" s="109" t="s">
        <v>5</v>
      </c>
      <c r="AC4" s="109" t="s">
        <v>6</v>
      </c>
      <c r="AD4" s="109" t="s">
        <v>252</v>
      </c>
      <c r="AE4" s="112" t="s">
        <v>259</v>
      </c>
      <c r="AF4" s="109" t="s">
        <v>7</v>
      </c>
      <c r="AG4" s="109" t="s">
        <v>8</v>
      </c>
      <c r="AH4" s="109" t="s">
        <v>9</v>
      </c>
      <c r="AI4" s="109" t="s">
        <v>10</v>
      </c>
      <c r="AJ4" s="109" t="s">
        <v>11</v>
      </c>
      <c r="AK4" s="109" t="s">
        <v>12</v>
      </c>
      <c r="AL4" s="109" t="s">
        <v>260</v>
      </c>
      <c r="AM4" s="109" t="s">
        <v>261</v>
      </c>
      <c r="AN4" s="112" t="s">
        <v>284</v>
      </c>
      <c r="AO4" s="112" t="s">
        <v>262</v>
      </c>
      <c r="AP4" s="109" t="s">
        <v>199</v>
      </c>
      <c r="AQ4" s="109" t="s">
        <v>264</v>
      </c>
    </row>
    <row r="5" spans="2:53" s="33" customFormat="1" ht="180" customHeight="1" x14ac:dyDescent="0.25">
      <c r="B5" s="1" t="s">
        <v>47</v>
      </c>
      <c r="C5" s="1" t="s">
        <v>48</v>
      </c>
      <c r="D5" s="1" t="s">
        <v>50</v>
      </c>
      <c r="E5" s="2">
        <v>1049212</v>
      </c>
      <c r="F5" s="2">
        <f>+E5*13%</f>
        <v>136397.56</v>
      </c>
      <c r="G5" s="1" t="s">
        <v>49</v>
      </c>
      <c r="H5" s="1" t="s">
        <v>32</v>
      </c>
      <c r="I5" s="175">
        <v>5260</v>
      </c>
      <c r="J5" s="1" t="s">
        <v>51</v>
      </c>
      <c r="K5" s="175">
        <v>5400</v>
      </c>
      <c r="L5" s="175">
        <v>3400</v>
      </c>
      <c r="M5" s="175">
        <v>3463</v>
      </c>
      <c r="N5" s="162">
        <v>1</v>
      </c>
      <c r="O5" s="162">
        <f>(N5+N7+N9)/3</f>
        <v>0.66666666666666663</v>
      </c>
      <c r="P5" s="162">
        <f>M5/K5</f>
        <v>0.64129629629629625</v>
      </c>
      <c r="Q5" s="151">
        <v>3463</v>
      </c>
      <c r="R5" s="165">
        <v>1</v>
      </c>
      <c r="S5" s="160">
        <f>(R5+R7+R9)/3</f>
        <v>0.7962526205450734</v>
      </c>
      <c r="T5" s="162">
        <f>Q5/K5</f>
        <v>0.64129629629629625</v>
      </c>
      <c r="U5" s="1" t="s">
        <v>33</v>
      </c>
      <c r="V5" s="15">
        <v>2020130010053</v>
      </c>
      <c r="W5" s="1" t="s">
        <v>34</v>
      </c>
      <c r="X5" s="1" t="s">
        <v>207</v>
      </c>
      <c r="Y5" s="175">
        <v>5400</v>
      </c>
      <c r="Z5" s="175">
        <v>3463</v>
      </c>
      <c r="AA5" s="151">
        <v>3463</v>
      </c>
      <c r="AB5" s="207" t="s">
        <v>100</v>
      </c>
      <c r="AC5" s="207" t="s">
        <v>135</v>
      </c>
      <c r="AD5" s="210">
        <f>+P5</f>
        <v>0.64129629629629625</v>
      </c>
      <c r="AE5" s="170">
        <f>AA5/K5</f>
        <v>0.64129629629629625</v>
      </c>
      <c r="AF5" s="2" t="s">
        <v>101</v>
      </c>
      <c r="AG5" s="16" t="s">
        <v>106</v>
      </c>
      <c r="AH5" s="17" t="s">
        <v>30</v>
      </c>
      <c r="AI5" s="43">
        <f>1261907821+8222300</f>
        <v>1270130121</v>
      </c>
      <c r="AJ5" s="17" t="s">
        <v>206</v>
      </c>
      <c r="AK5" s="16" t="s">
        <v>202</v>
      </c>
      <c r="AL5" s="3">
        <f>+AI5</f>
        <v>1270130121</v>
      </c>
      <c r="AM5" s="3">
        <f>8222300+458950350</f>
        <v>467172650</v>
      </c>
      <c r="AN5" s="104">
        <v>1261907821</v>
      </c>
      <c r="AO5" s="104">
        <v>514043850</v>
      </c>
      <c r="AP5" s="66" t="s">
        <v>208</v>
      </c>
      <c r="AQ5" s="66" t="s">
        <v>263</v>
      </c>
      <c r="AR5" s="60"/>
      <c r="AS5" s="60"/>
      <c r="AT5" s="72"/>
      <c r="AU5" s="60"/>
      <c r="AV5" s="60"/>
      <c r="AW5" s="60"/>
      <c r="AX5" s="60"/>
      <c r="AY5" s="60"/>
      <c r="AZ5" s="60"/>
      <c r="BA5" s="60"/>
    </row>
    <row r="6" spans="2:53" s="33" customFormat="1" ht="409.5" x14ac:dyDescent="0.25">
      <c r="B6" s="1" t="s">
        <v>47</v>
      </c>
      <c r="C6" s="1" t="s">
        <v>48</v>
      </c>
      <c r="D6" s="1" t="s">
        <v>50</v>
      </c>
      <c r="E6" s="2">
        <v>1049212</v>
      </c>
      <c r="F6" s="2">
        <f t="shared" ref="F6:F15" si="0">+E6*13%</f>
        <v>136397.56</v>
      </c>
      <c r="G6" s="1" t="s">
        <v>49</v>
      </c>
      <c r="H6" s="1" t="s">
        <v>32</v>
      </c>
      <c r="I6" s="176"/>
      <c r="J6" s="1" t="s">
        <v>51</v>
      </c>
      <c r="K6" s="176"/>
      <c r="L6" s="176"/>
      <c r="M6" s="176"/>
      <c r="N6" s="163"/>
      <c r="O6" s="164"/>
      <c r="P6" s="164"/>
      <c r="Q6" s="153"/>
      <c r="R6" s="167"/>
      <c r="S6" s="168"/>
      <c r="T6" s="164"/>
      <c r="U6" s="1" t="s">
        <v>33</v>
      </c>
      <c r="V6" s="15">
        <v>2020130010053</v>
      </c>
      <c r="W6" s="1" t="s">
        <v>34</v>
      </c>
      <c r="X6" s="1" t="s">
        <v>207</v>
      </c>
      <c r="Y6" s="176"/>
      <c r="Z6" s="176"/>
      <c r="AA6" s="153"/>
      <c r="AB6" s="208"/>
      <c r="AC6" s="208"/>
      <c r="AD6" s="211"/>
      <c r="AE6" s="171"/>
      <c r="AF6" s="2" t="s">
        <v>101</v>
      </c>
      <c r="AG6" s="16" t="s">
        <v>106</v>
      </c>
      <c r="AH6" s="17" t="s">
        <v>105</v>
      </c>
      <c r="AI6" s="43">
        <f>3014867+11008038</f>
        <v>14022905</v>
      </c>
      <c r="AJ6" s="17" t="s">
        <v>206</v>
      </c>
      <c r="AK6" s="16" t="s">
        <v>203</v>
      </c>
      <c r="AL6" s="43">
        <f>+AI6</f>
        <v>14022905</v>
      </c>
      <c r="AM6" s="3">
        <v>3014867</v>
      </c>
      <c r="AN6" s="104">
        <v>11008038</v>
      </c>
      <c r="AO6" s="104">
        <v>0</v>
      </c>
      <c r="AP6" s="66" t="s">
        <v>208</v>
      </c>
      <c r="AQ6" s="66" t="s">
        <v>263</v>
      </c>
      <c r="AR6" s="60"/>
      <c r="AS6" s="60"/>
      <c r="AT6" s="72"/>
      <c r="AU6" s="60"/>
      <c r="AV6" s="60"/>
      <c r="AW6" s="60"/>
      <c r="AX6" s="60"/>
      <c r="AY6" s="60"/>
      <c r="AZ6" s="60"/>
      <c r="BA6" s="60"/>
    </row>
    <row r="7" spans="2:53" s="33" customFormat="1" ht="51" customHeight="1" x14ac:dyDescent="0.25">
      <c r="B7" s="1" t="s">
        <v>47</v>
      </c>
      <c r="C7" s="1" t="s">
        <v>48</v>
      </c>
      <c r="D7" s="1" t="s">
        <v>50</v>
      </c>
      <c r="E7" s="2">
        <v>1049212</v>
      </c>
      <c r="F7" s="2">
        <f t="shared" si="0"/>
        <v>136397.56</v>
      </c>
      <c r="G7" s="1" t="s">
        <v>49</v>
      </c>
      <c r="H7" s="1" t="s">
        <v>32</v>
      </c>
      <c r="I7" s="175">
        <v>50</v>
      </c>
      <c r="J7" s="1" t="s">
        <v>51</v>
      </c>
      <c r="K7" s="175">
        <v>54</v>
      </c>
      <c r="L7" s="175">
        <v>50</v>
      </c>
      <c r="M7" s="175">
        <v>50</v>
      </c>
      <c r="N7" s="162">
        <f>M7/L7</f>
        <v>1</v>
      </c>
      <c r="O7" s="164"/>
      <c r="P7" s="162">
        <f>M7/K7</f>
        <v>0.92592592592592593</v>
      </c>
      <c r="Q7" s="151">
        <v>50</v>
      </c>
      <c r="R7" s="165">
        <f>Q7/L7</f>
        <v>1</v>
      </c>
      <c r="S7" s="168"/>
      <c r="T7" s="162">
        <f>Q7/K7</f>
        <v>0.92592592592592593</v>
      </c>
      <c r="U7" s="1" t="s">
        <v>33</v>
      </c>
      <c r="V7" s="15">
        <v>2020130010053</v>
      </c>
      <c r="W7" s="1" t="s">
        <v>34</v>
      </c>
      <c r="X7" s="1" t="s">
        <v>207</v>
      </c>
      <c r="Y7" s="175">
        <v>54</v>
      </c>
      <c r="Z7" s="175">
        <v>50</v>
      </c>
      <c r="AA7" s="151">
        <v>50</v>
      </c>
      <c r="AB7" s="207" t="s">
        <v>100</v>
      </c>
      <c r="AC7" s="207" t="s">
        <v>135</v>
      </c>
      <c r="AD7" s="210">
        <f>+P7</f>
        <v>0.92592592592592593</v>
      </c>
      <c r="AE7" s="170">
        <f>AA7/K7</f>
        <v>0.92592592592592593</v>
      </c>
      <c r="AF7" s="2" t="s">
        <v>101</v>
      </c>
      <c r="AG7" s="16" t="s">
        <v>106</v>
      </c>
      <c r="AH7" s="17" t="s">
        <v>136</v>
      </c>
      <c r="AI7" s="43">
        <f>264055766+16528050</f>
        <v>280583816</v>
      </c>
      <c r="AJ7" s="17" t="s">
        <v>206</v>
      </c>
      <c r="AK7" s="16" t="s">
        <v>204</v>
      </c>
      <c r="AL7" s="3">
        <v>1270130121</v>
      </c>
      <c r="AM7" s="43">
        <f>16528050+89697839</f>
        <v>106225889</v>
      </c>
      <c r="AN7" s="104">
        <v>264055766</v>
      </c>
      <c r="AO7" s="104">
        <v>92145839</v>
      </c>
      <c r="AP7" s="66" t="s">
        <v>208</v>
      </c>
      <c r="AQ7" s="66" t="s">
        <v>263</v>
      </c>
      <c r="AR7" s="60"/>
      <c r="AS7" s="60"/>
      <c r="AT7" s="72"/>
      <c r="AU7" s="60"/>
      <c r="AV7" s="60"/>
      <c r="AW7" s="60"/>
      <c r="AX7" s="60"/>
      <c r="AY7" s="60"/>
      <c r="AZ7" s="60"/>
      <c r="BA7" s="60"/>
    </row>
    <row r="8" spans="2:53" s="33" customFormat="1" ht="51" customHeight="1" x14ac:dyDescent="0.25">
      <c r="B8" s="1" t="s">
        <v>47</v>
      </c>
      <c r="C8" s="1" t="s">
        <v>48</v>
      </c>
      <c r="D8" s="1" t="s">
        <v>50</v>
      </c>
      <c r="E8" s="2">
        <v>1049212</v>
      </c>
      <c r="F8" s="2">
        <f t="shared" si="0"/>
        <v>136397.56</v>
      </c>
      <c r="G8" s="1" t="s">
        <v>49</v>
      </c>
      <c r="H8" s="1" t="s">
        <v>53</v>
      </c>
      <c r="I8" s="176"/>
      <c r="J8" s="1" t="s">
        <v>52</v>
      </c>
      <c r="K8" s="176"/>
      <c r="L8" s="176"/>
      <c r="M8" s="176"/>
      <c r="N8" s="163"/>
      <c r="O8" s="164"/>
      <c r="P8" s="164"/>
      <c r="Q8" s="153"/>
      <c r="R8" s="167"/>
      <c r="S8" s="168"/>
      <c r="T8" s="164"/>
      <c r="U8" s="1" t="s">
        <v>33</v>
      </c>
      <c r="V8" s="15">
        <v>2020130010053</v>
      </c>
      <c r="W8" s="1" t="s">
        <v>34</v>
      </c>
      <c r="X8" s="1" t="s">
        <v>207</v>
      </c>
      <c r="Y8" s="176"/>
      <c r="Z8" s="176"/>
      <c r="AA8" s="153"/>
      <c r="AB8" s="208"/>
      <c r="AC8" s="208"/>
      <c r="AD8" s="211"/>
      <c r="AE8" s="171"/>
      <c r="AF8" s="2" t="s">
        <v>101</v>
      </c>
      <c r="AG8" s="16" t="s">
        <v>106</v>
      </c>
      <c r="AH8" s="17" t="s">
        <v>104</v>
      </c>
      <c r="AI8" s="43">
        <f>16109350+812895533</f>
        <v>829004883</v>
      </c>
      <c r="AJ8" s="17" t="s">
        <v>206</v>
      </c>
      <c r="AK8" s="16" t="s">
        <v>205</v>
      </c>
      <c r="AL8" s="3">
        <v>280583816</v>
      </c>
      <c r="AM8" s="43">
        <f>16109350+414524900</f>
        <v>430634250</v>
      </c>
      <c r="AN8" s="104">
        <v>812895533</v>
      </c>
      <c r="AO8" s="104">
        <v>455149831</v>
      </c>
      <c r="AP8" s="66" t="s">
        <v>208</v>
      </c>
      <c r="AQ8" s="66" t="s">
        <v>263</v>
      </c>
      <c r="AR8" s="60"/>
      <c r="AS8" s="60"/>
      <c r="AT8" s="72"/>
      <c r="AU8" s="60"/>
      <c r="AV8" s="60"/>
      <c r="AW8" s="60"/>
      <c r="AX8" s="60"/>
      <c r="AY8" s="60"/>
      <c r="AZ8" s="60"/>
      <c r="BA8" s="60"/>
    </row>
    <row r="9" spans="2:53" s="33" customFormat="1" ht="51" customHeight="1" x14ac:dyDescent="0.25">
      <c r="B9" s="1" t="s">
        <v>47</v>
      </c>
      <c r="C9" s="1" t="s">
        <v>48</v>
      </c>
      <c r="D9" s="1" t="s">
        <v>50</v>
      </c>
      <c r="E9" s="2">
        <v>1049212</v>
      </c>
      <c r="F9" s="2">
        <f t="shared" si="0"/>
        <v>136397.56</v>
      </c>
      <c r="G9" s="1" t="s">
        <v>49</v>
      </c>
      <c r="H9" s="1" t="s">
        <v>39</v>
      </c>
      <c r="I9" s="175">
        <v>10176</v>
      </c>
      <c r="J9" s="1" t="s">
        <v>54</v>
      </c>
      <c r="K9" s="175">
        <v>10176</v>
      </c>
      <c r="L9" s="175">
        <v>10176</v>
      </c>
      <c r="M9" s="175">
        <v>0</v>
      </c>
      <c r="N9" s="162">
        <f>M9/L9</f>
        <v>0</v>
      </c>
      <c r="O9" s="164"/>
      <c r="P9" s="162">
        <f>+AVERAGE(N9:N10)</f>
        <v>0</v>
      </c>
      <c r="Q9" s="154">
        <v>3956</v>
      </c>
      <c r="R9" s="165">
        <f>Q9/L9</f>
        <v>0.38875786163522014</v>
      </c>
      <c r="S9" s="168"/>
      <c r="T9" s="162">
        <f>Q9/K9</f>
        <v>0.38875786163522014</v>
      </c>
      <c r="U9" s="16" t="s">
        <v>40</v>
      </c>
      <c r="V9" s="15">
        <v>2020130010194</v>
      </c>
      <c r="W9" s="16" t="s">
        <v>41</v>
      </c>
      <c r="X9" s="16" t="s">
        <v>102</v>
      </c>
      <c r="Y9" s="175">
        <v>10176</v>
      </c>
      <c r="Z9" s="175">
        <v>0</v>
      </c>
      <c r="AA9" s="154">
        <v>3956</v>
      </c>
      <c r="AB9" s="207" t="s">
        <v>100</v>
      </c>
      <c r="AC9" s="207" t="s">
        <v>135</v>
      </c>
      <c r="AD9" s="210">
        <f>+P9</f>
        <v>0</v>
      </c>
      <c r="AE9" s="170">
        <f>AA9/K9</f>
        <v>0.38875786163522014</v>
      </c>
      <c r="AF9" s="2" t="s">
        <v>101</v>
      </c>
      <c r="AG9" s="16" t="s">
        <v>106</v>
      </c>
      <c r="AH9" s="17" t="s">
        <v>104</v>
      </c>
      <c r="AI9" s="43">
        <v>198167407</v>
      </c>
      <c r="AJ9" s="17" t="s">
        <v>210</v>
      </c>
      <c r="AK9" s="16" t="s">
        <v>103</v>
      </c>
      <c r="AL9" s="3">
        <v>198167407</v>
      </c>
      <c r="AM9" s="43">
        <v>25710300</v>
      </c>
      <c r="AN9" s="104">
        <v>174969151</v>
      </c>
      <c r="AO9" s="104">
        <v>41544966</v>
      </c>
      <c r="AP9" s="66" t="s">
        <v>209</v>
      </c>
      <c r="AQ9" s="66" t="s">
        <v>266</v>
      </c>
      <c r="AR9" s="60"/>
      <c r="AS9" s="60"/>
      <c r="AT9" s="72"/>
      <c r="AU9" s="60"/>
      <c r="AV9" s="60"/>
      <c r="AW9" s="60"/>
      <c r="AX9" s="60"/>
      <c r="AY9" s="60"/>
      <c r="AZ9" s="60"/>
      <c r="BA9" s="60"/>
    </row>
    <row r="10" spans="2:53" s="47" customFormat="1" ht="51" customHeight="1" x14ac:dyDescent="0.25">
      <c r="B10" s="1" t="s">
        <v>47</v>
      </c>
      <c r="C10" s="1" t="s">
        <v>48</v>
      </c>
      <c r="D10" s="1" t="s">
        <v>50</v>
      </c>
      <c r="E10" s="2">
        <v>1049212</v>
      </c>
      <c r="F10" s="2">
        <f t="shared" ref="F10" si="1">+E10*13%</f>
        <v>136397.56</v>
      </c>
      <c r="G10" s="1" t="s">
        <v>49</v>
      </c>
      <c r="H10" s="1" t="s">
        <v>39</v>
      </c>
      <c r="I10" s="176"/>
      <c r="J10" s="1" t="s">
        <v>54</v>
      </c>
      <c r="K10" s="176"/>
      <c r="L10" s="176"/>
      <c r="M10" s="176"/>
      <c r="N10" s="163"/>
      <c r="O10" s="163"/>
      <c r="P10" s="163"/>
      <c r="Q10" s="155"/>
      <c r="R10" s="167"/>
      <c r="S10" s="169"/>
      <c r="T10" s="163"/>
      <c r="U10" s="16" t="s">
        <v>40</v>
      </c>
      <c r="V10" s="15">
        <v>2020130010194</v>
      </c>
      <c r="W10" s="16" t="s">
        <v>41</v>
      </c>
      <c r="X10" s="16" t="s">
        <v>102</v>
      </c>
      <c r="Y10" s="176"/>
      <c r="Z10" s="176"/>
      <c r="AA10" s="155"/>
      <c r="AB10" s="208"/>
      <c r="AC10" s="208"/>
      <c r="AD10" s="211"/>
      <c r="AE10" s="171"/>
      <c r="AF10" s="2" t="s">
        <v>101</v>
      </c>
      <c r="AG10" s="16" t="s">
        <v>106</v>
      </c>
      <c r="AH10" s="17" t="s">
        <v>159</v>
      </c>
      <c r="AI10" s="43">
        <v>91583838</v>
      </c>
      <c r="AJ10" s="17" t="s">
        <v>210</v>
      </c>
      <c r="AK10" s="16" t="s">
        <v>158</v>
      </c>
      <c r="AL10" s="43">
        <v>91583838</v>
      </c>
      <c r="AM10" s="53">
        <v>0</v>
      </c>
      <c r="AN10" s="104">
        <v>91583838</v>
      </c>
      <c r="AO10" s="105">
        <v>14560000</v>
      </c>
      <c r="AP10" s="66" t="s">
        <v>209</v>
      </c>
      <c r="AQ10" s="66" t="s">
        <v>266</v>
      </c>
      <c r="AR10" s="60"/>
      <c r="AS10" s="60"/>
      <c r="AT10" s="72"/>
      <c r="AU10" s="60"/>
      <c r="AV10" s="60"/>
      <c r="AW10" s="60"/>
      <c r="AX10" s="60"/>
      <c r="AY10" s="60"/>
      <c r="AZ10" s="60"/>
      <c r="BA10" s="60"/>
    </row>
    <row r="11" spans="2:53" s="33" customFormat="1" ht="291" customHeight="1" x14ac:dyDescent="0.25">
      <c r="B11" s="5" t="s">
        <v>47</v>
      </c>
      <c r="C11" s="5" t="s">
        <v>48</v>
      </c>
      <c r="D11" s="5" t="s">
        <v>50</v>
      </c>
      <c r="E11" s="6">
        <v>1049212</v>
      </c>
      <c r="F11" s="6">
        <f t="shared" ref="F11" si="2">+E11*13%</f>
        <v>136397.56</v>
      </c>
      <c r="G11" s="5" t="s">
        <v>55</v>
      </c>
      <c r="H11" s="5" t="s">
        <v>57</v>
      </c>
      <c r="I11" s="75">
        <v>375</v>
      </c>
      <c r="J11" s="5" t="s">
        <v>56</v>
      </c>
      <c r="K11" s="75">
        <v>400</v>
      </c>
      <c r="L11" s="75">
        <v>100</v>
      </c>
      <c r="M11" s="75">
        <v>0</v>
      </c>
      <c r="N11" s="90">
        <f>+M11/L11</f>
        <v>0</v>
      </c>
      <c r="O11" s="162">
        <f>(N11+N12+N13+N14)/4</f>
        <v>0.1892361111111111</v>
      </c>
      <c r="P11" s="90">
        <f>M11/K11</f>
        <v>0</v>
      </c>
      <c r="Q11" s="115">
        <v>55</v>
      </c>
      <c r="R11" s="94">
        <f>Q11/L11</f>
        <v>0.55000000000000004</v>
      </c>
      <c r="S11" s="160">
        <f>(R11+R12+R13+R14)/4</f>
        <v>0.63749999999999996</v>
      </c>
      <c r="T11" s="91">
        <f>Q11/K11</f>
        <v>0.13750000000000001</v>
      </c>
      <c r="U11" s="5" t="s">
        <v>35</v>
      </c>
      <c r="V11" s="19">
        <v>2020130010038</v>
      </c>
      <c r="W11" s="5" t="s">
        <v>36</v>
      </c>
      <c r="X11" s="5" t="s">
        <v>219</v>
      </c>
      <c r="Y11" s="86">
        <v>400</v>
      </c>
      <c r="Z11" s="75">
        <v>0</v>
      </c>
      <c r="AA11" s="97">
        <v>55</v>
      </c>
      <c r="AB11" s="20" t="s">
        <v>100</v>
      </c>
      <c r="AC11" s="20" t="s">
        <v>135</v>
      </c>
      <c r="AD11" s="77">
        <f>+P11</f>
        <v>0</v>
      </c>
      <c r="AE11" s="102">
        <f>AA11/K11</f>
        <v>0.13750000000000001</v>
      </c>
      <c r="AF11" s="20" t="s">
        <v>101</v>
      </c>
      <c r="AG11" s="5" t="s">
        <v>106</v>
      </c>
      <c r="AH11" s="23" t="s">
        <v>30</v>
      </c>
      <c r="AI11" s="49">
        <v>357224096</v>
      </c>
      <c r="AJ11" s="23" t="s">
        <v>217</v>
      </c>
      <c r="AK11" s="5" t="s">
        <v>215</v>
      </c>
      <c r="AL11" s="49">
        <f>72500000+284724096</f>
        <v>357224096</v>
      </c>
      <c r="AM11" s="49">
        <f>72500000+77438700</f>
        <v>149938700</v>
      </c>
      <c r="AN11" s="105">
        <v>284724096</v>
      </c>
      <c r="AO11" s="105">
        <v>167438700</v>
      </c>
      <c r="AP11" s="67" t="s">
        <v>201</v>
      </c>
      <c r="AQ11" s="67" t="s">
        <v>267</v>
      </c>
      <c r="AR11" s="60"/>
      <c r="AS11" s="60"/>
      <c r="AT11" s="72"/>
      <c r="AU11" s="60"/>
      <c r="AV11" s="60"/>
      <c r="AW11" s="60"/>
      <c r="AX11" s="60"/>
      <c r="AY11" s="60"/>
      <c r="AZ11" s="60"/>
      <c r="BA11" s="60"/>
    </row>
    <row r="12" spans="2:53" s="33" customFormat="1" ht="51" customHeight="1" x14ac:dyDescent="0.25">
      <c r="B12" s="5" t="s">
        <v>47</v>
      </c>
      <c r="C12" s="5" t="s">
        <v>48</v>
      </c>
      <c r="D12" s="5" t="s">
        <v>50</v>
      </c>
      <c r="E12" s="6">
        <v>1049212</v>
      </c>
      <c r="F12" s="6">
        <f t="shared" si="0"/>
        <v>136397.56</v>
      </c>
      <c r="G12" s="5" t="s">
        <v>55</v>
      </c>
      <c r="H12" s="5" t="s">
        <v>59</v>
      </c>
      <c r="I12" s="7">
        <v>0</v>
      </c>
      <c r="J12" s="5" t="s">
        <v>58</v>
      </c>
      <c r="K12" s="7">
        <v>4000</v>
      </c>
      <c r="L12" s="7">
        <v>1000</v>
      </c>
      <c r="M12" s="18">
        <v>0</v>
      </c>
      <c r="N12" s="91">
        <f>M12/L12</f>
        <v>0</v>
      </c>
      <c r="O12" s="164"/>
      <c r="P12" s="91">
        <f>M12/K12</f>
        <v>0</v>
      </c>
      <c r="Q12" s="114">
        <v>2440</v>
      </c>
      <c r="R12" s="95">
        <v>1</v>
      </c>
      <c r="S12" s="168"/>
      <c r="T12" s="89">
        <f>Q12/K12</f>
        <v>0.61</v>
      </c>
      <c r="U12" s="5" t="s">
        <v>35</v>
      </c>
      <c r="V12" s="19">
        <v>2020130010038</v>
      </c>
      <c r="W12" s="5" t="s">
        <v>36</v>
      </c>
      <c r="X12" s="5" t="s">
        <v>219</v>
      </c>
      <c r="Y12" s="7">
        <v>4000</v>
      </c>
      <c r="Z12" s="18">
        <v>0</v>
      </c>
      <c r="AA12" s="98">
        <v>2440</v>
      </c>
      <c r="AB12" s="20" t="s">
        <v>100</v>
      </c>
      <c r="AC12" s="20" t="s">
        <v>135</v>
      </c>
      <c r="AD12" s="77">
        <f>+P12</f>
        <v>0</v>
      </c>
      <c r="AE12" s="102">
        <f>AA12/K12</f>
        <v>0.61</v>
      </c>
      <c r="AF12" s="20" t="s">
        <v>101</v>
      </c>
      <c r="AG12" s="5" t="s">
        <v>106</v>
      </c>
      <c r="AH12" s="23" t="s">
        <v>136</v>
      </c>
      <c r="AI12" s="74">
        <v>532839348</v>
      </c>
      <c r="AJ12" s="23" t="s">
        <v>218</v>
      </c>
      <c r="AK12" s="44" t="s">
        <v>107</v>
      </c>
      <c r="AL12" s="49">
        <v>532839348</v>
      </c>
      <c r="AM12" s="49">
        <v>109510300</v>
      </c>
      <c r="AN12" s="105">
        <v>532839349</v>
      </c>
      <c r="AO12" s="105">
        <v>109510300</v>
      </c>
      <c r="AP12" s="67" t="s">
        <v>177</v>
      </c>
      <c r="AQ12" s="67" t="s">
        <v>267</v>
      </c>
      <c r="AR12" s="60"/>
      <c r="AS12" s="60"/>
      <c r="AT12" s="72"/>
      <c r="AU12" s="60"/>
      <c r="AV12" s="60"/>
      <c r="AW12" s="60"/>
      <c r="AX12" s="60"/>
      <c r="AY12" s="60"/>
      <c r="AZ12" s="60"/>
      <c r="BA12" s="60"/>
    </row>
    <row r="13" spans="2:53" s="33" customFormat="1" ht="51" customHeight="1" x14ac:dyDescent="0.25">
      <c r="B13" s="5" t="s">
        <v>47</v>
      </c>
      <c r="C13" s="5" t="s">
        <v>48</v>
      </c>
      <c r="D13" s="5" t="s">
        <v>50</v>
      </c>
      <c r="E13" s="6">
        <v>1049212</v>
      </c>
      <c r="F13" s="6">
        <f t="shared" si="0"/>
        <v>136397.56</v>
      </c>
      <c r="G13" s="5" t="s">
        <v>55</v>
      </c>
      <c r="H13" s="5" t="s">
        <v>61</v>
      </c>
      <c r="I13" s="7">
        <v>288</v>
      </c>
      <c r="J13" s="5" t="s">
        <v>60</v>
      </c>
      <c r="K13" s="7">
        <v>144</v>
      </c>
      <c r="L13" s="7">
        <v>144</v>
      </c>
      <c r="M13" s="18">
        <v>109</v>
      </c>
      <c r="N13" s="91">
        <f>+M13/L13</f>
        <v>0.75694444444444442</v>
      </c>
      <c r="O13" s="164"/>
      <c r="P13" s="91">
        <f>M13/K13</f>
        <v>0.75694444444444442</v>
      </c>
      <c r="Q13" s="114">
        <v>255</v>
      </c>
      <c r="R13" s="95">
        <v>1</v>
      </c>
      <c r="S13" s="168"/>
      <c r="T13" s="90">
        <v>1</v>
      </c>
      <c r="U13" s="5" t="s">
        <v>35</v>
      </c>
      <c r="V13" s="19">
        <v>2020130010038</v>
      </c>
      <c r="W13" s="5" t="s">
        <v>36</v>
      </c>
      <c r="X13" s="5" t="s">
        <v>219</v>
      </c>
      <c r="Y13" s="7">
        <v>144</v>
      </c>
      <c r="Z13" s="18">
        <v>109</v>
      </c>
      <c r="AA13" s="98">
        <v>255</v>
      </c>
      <c r="AB13" s="20" t="s">
        <v>100</v>
      </c>
      <c r="AC13" s="20" t="s">
        <v>135</v>
      </c>
      <c r="AD13" s="87">
        <f>+P13</f>
        <v>0.75694444444444442</v>
      </c>
      <c r="AE13" s="102">
        <v>1</v>
      </c>
      <c r="AF13" s="20" t="s">
        <v>101</v>
      </c>
      <c r="AG13" s="5" t="s">
        <v>106</v>
      </c>
      <c r="AH13" s="203" t="s">
        <v>104</v>
      </c>
      <c r="AI13" s="201">
        <v>2175277075</v>
      </c>
      <c r="AJ13" s="199" t="s">
        <v>218</v>
      </c>
      <c r="AK13" s="199" t="s">
        <v>216</v>
      </c>
      <c r="AL13" s="201">
        <f>20000000+2155277075</f>
        <v>2175277075</v>
      </c>
      <c r="AM13" s="201">
        <f>20000000+464933327</f>
        <v>484933327</v>
      </c>
      <c r="AN13" s="141">
        <v>2044862349</v>
      </c>
      <c r="AO13" s="141">
        <v>1029090961</v>
      </c>
      <c r="AP13" s="67" t="s">
        <v>177</v>
      </c>
      <c r="AQ13" s="67" t="s">
        <v>265</v>
      </c>
      <c r="AR13" s="60"/>
      <c r="AS13" s="60"/>
      <c r="AT13" s="72"/>
      <c r="AU13" s="60"/>
      <c r="AV13" s="60"/>
      <c r="AW13" s="60"/>
      <c r="AX13" s="60"/>
      <c r="AY13" s="60"/>
      <c r="AZ13" s="60"/>
      <c r="BA13" s="60"/>
    </row>
    <row r="14" spans="2:53" s="33" customFormat="1" ht="51" customHeight="1" x14ac:dyDescent="0.25">
      <c r="B14" s="5" t="s">
        <v>47</v>
      </c>
      <c r="C14" s="5" t="s">
        <v>48</v>
      </c>
      <c r="D14" s="5" t="s">
        <v>50</v>
      </c>
      <c r="E14" s="6">
        <v>1049212</v>
      </c>
      <c r="F14" s="6">
        <f t="shared" si="0"/>
        <v>136397.56</v>
      </c>
      <c r="G14" s="5" t="s">
        <v>55</v>
      </c>
      <c r="H14" s="5" t="s">
        <v>63</v>
      </c>
      <c r="I14" s="7">
        <v>49</v>
      </c>
      <c r="J14" s="5" t="s">
        <v>62</v>
      </c>
      <c r="K14" s="7">
        <v>20</v>
      </c>
      <c r="L14" s="7">
        <v>0</v>
      </c>
      <c r="M14" s="7">
        <v>0</v>
      </c>
      <c r="N14" s="91">
        <f>M14/K14</f>
        <v>0</v>
      </c>
      <c r="O14" s="163"/>
      <c r="P14" s="91">
        <f>+AVERAGE(N14)</f>
        <v>0</v>
      </c>
      <c r="Q14" s="113">
        <v>0</v>
      </c>
      <c r="R14" s="95">
        <v>0</v>
      </c>
      <c r="S14" s="169"/>
      <c r="T14" s="91">
        <f>Q14/K14</f>
        <v>0</v>
      </c>
      <c r="U14" s="5" t="s">
        <v>35</v>
      </c>
      <c r="V14" s="19">
        <v>2020130010038</v>
      </c>
      <c r="W14" s="5" t="s">
        <v>36</v>
      </c>
      <c r="X14" s="5" t="s">
        <v>219</v>
      </c>
      <c r="Y14" s="7">
        <v>20</v>
      </c>
      <c r="Z14" s="7">
        <v>0</v>
      </c>
      <c r="AA14" s="99">
        <v>0</v>
      </c>
      <c r="AB14" s="20" t="s">
        <v>100</v>
      </c>
      <c r="AC14" s="20" t="s">
        <v>135</v>
      </c>
      <c r="AD14" s="77">
        <f>+P14</f>
        <v>0</v>
      </c>
      <c r="AE14" s="102">
        <f>AA14/K14</f>
        <v>0</v>
      </c>
      <c r="AF14" s="20" t="s">
        <v>101</v>
      </c>
      <c r="AG14" s="5" t="s">
        <v>106</v>
      </c>
      <c r="AH14" s="204"/>
      <c r="AI14" s="202"/>
      <c r="AJ14" s="200"/>
      <c r="AK14" s="200"/>
      <c r="AL14" s="202"/>
      <c r="AM14" s="202"/>
      <c r="AN14" s="142"/>
      <c r="AO14" s="142"/>
      <c r="AP14" s="67" t="s">
        <v>178</v>
      </c>
      <c r="AQ14" s="67" t="s">
        <v>265</v>
      </c>
      <c r="AR14" s="60"/>
      <c r="AS14" s="60"/>
      <c r="AT14" s="72"/>
      <c r="AU14" s="60"/>
      <c r="AV14" s="60"/>
      <c r="AW14" s="60"/>
      <c r="AX14" s="60"/>
      <c r="AY14" s="60"/>
      <c r="AZ14" s="60"/>
      <c r="BA14" s="60"/>
    </row>
    <row r="15" spans="2:53" s="33" customFormat="1" ht="51" customHeight="1" x14ac:dyDescent="0.25">
      <c r="B15" s="1" t="s">
        <v>47</v>
      </c>
      <c r="C15" s="1" t="s">
        <v>48</v>
      </c>
      <c r="D15" s="1" t="s">
        <v>50</v>
      </c>
      <c r="E15" s="2">
        <v>1049212</v>
      </c>
      <c r="F15" s="2">
        <f t="shared" si="0"/>
        <v>136397.56</v>
      </c>
      <c r="G15" s="1" t="s">
        <v>64</v>
      </c>
      <c r="H15" s="1" t="s">
        <v>66</v>
      </c>
      <c r="I15" s="175">
        <v>100881</v>
      </c>
      <c r="J15" s="1" t="s">
        <v>65</v>
      </c>
      <c r="K15" s="175">
        <v>120000</v>
      </c>
      <c r="L15" s="175">
        <v>33627</v>
      </c>
      <c r="M15" s="175">
        <v>382</v>
      </c>
      <c r="N15" s="162">
        <f>M15/L15</f>
        <v>1.1359919112617837E-2</v>
      </c>
      <c r="O15" s="205">
        <f>(N15+N17)/2</f>
        <v>5.6799595563089183E-3</v>
      </c>
      <c r="P15" s="205">
        <f>M15/K15</f>
        <v>3.1833333333333332E-3</v>
      </c>
      <c r="Q15" s="151">
        <v>13892</v>
      </c>
      <c r="R15" s="165">
        <f>Q15/L15</f>
        <v>0.4131204091949921</v>
      </c>
      <c r="S15" s="160">
        <f>(R15+R17)/2</f>
        <v>0.20656020459749605</v>
      </c>
      <c r="T15" s="205">
        <f>Q15/K15</f>
        <v>0.11576666666666667</v>
      </c>
      <c r="U15" s="16" t="s">
        <v>108</v>
      </c>
      <c r="V15" s="15">
        <v>2020130010259</v>
      </c>
      <c r="W15" s="1" t="s">
        <v>110</v>
      </c>
      <c r="X15" s="16" t="s">
        <v>111</v>
      </c>
      <c r="Y15" s="175">
        <v>120000</v>
      </c>
      <c r="Z15" s="175">
        <v>382</v>
      </c>
      <c r="AA15" s="151">
        <v>13892</v>
      </c>
      <c r="AB15" s="2" t="s">
        <v>113</v>
      </c>
      <c r="AC15" s="30" t="s">
        <v>112</v>
      </c>
      <c r="AD15" s="210">
        <f>+P15</f>
        <v>3.1833333333333332E-3</v>
      </c>
      <c r="AE15" s="170">
        <f t="shared" ref="AE15:AE17" si="3">AA15/K15</f>
        <v>0.11576666666666667</v>
      </c>
      <c r="AF15" s="3" t="s">
        <v>101</v>
      </c>
      <c r="AG15" s="3" t="s">
        <v>106</v>
      </c>
      <c r="AH15" s="17" t="s">
        <v>30</v>
      </c>
      <c r="AI15" s="43">
        <v>1123114375</v>
      </c>
      <c r="AJ15" s="17" t="s">
        <v>214</v>
      </c>
      <c r="AK15" s="16" t="s">
        <v>211</v>
      </c>
      <c r="AL15" s="3">
        <f>129625375+993489000</f>
        <v>1123114375</v>
      </c>
      <c r="AM15" s="43">
        <f>129625375+108308700</f>
        <v>237934075</v>
      </c>
      <c r="AN15" s="104">
        <v>981738481</v>
      </c>
      <c r="AO15" s="104">
        <v>250708700</v>
      </c>
      <c r="AP15" s="66" t="s">
        <v>179</v>
      </c>
      <c r="AQ15" s="66" t="s">
        <v>268</v>
      </c>
      <c r="AR15" s="60"/>
      <c r="AS15" s="60"/>
      <c r="AT15" s="72"/>
      <c r="AU15" s="60"/>
      <c r="AV15" s="60"/>
      <c r="AW15" s="60"/>
      <c r="AX15" s="60"/>
      <c r="AY15" s="60"/>
      <c r="AZ15" s="60"/>
      <c r="BA15" s="60"/>
    </row>
    <row r="16" spans="2:53" s="47" customFormat="1" ht="51" customHeight="1" x14ac:dyDescent="0.25">
      <c r="B16" s="1" t="s">
        <v>47</v>
      </c>
      <c r="C16" s="1" t="s">
        <v>48</v>
      </c>
      <c r="D16" s="1" t="s">
        <v>50</v>
      </c>
      <c r="E16" s="2">
        <v>1049212</v>
      </c>
      <c r="F16" s="2">
        <f>+E16*13%</f>
        <v>136397.56</v>
      </c>
      <c r="G16" s="1" t="s">
        <v>64</v>
      </c>
      <c r="H16" s="1" t="s">
        <v>66</v>
      </c>
      <c r="I16" s="176"/>
      <c r="J16" s="1" t="s">
        <v>65</v>
      </c>
      <c r="K16" s="176"/>
      <c r="L16" s="176"/>
      <c r="M16" s="176"/>
      <c r="N16" s="163"/>
      <c r="O16" s="209"/>
      <c r="P16" s="206"/>
      <c r="Q16" s="156"/>
      <c r="R16" s="167"/>
      <c r="S16" s="168"/>
      <c r="T16" s="206"/>
      <c r="U16" s="16" t="s">
        <v>108</v>
      </c>
      <c r="V16" s="15">
        <v>2020130010259</v>
      </c>
      <c r="W16" s="1" t="s">
        <v>110</v>
      </c>
      <c r="X16" s="16" t="s">
        <v>111</v>
      </c>
      <c r="Y16" s="176"/>
      <c r="Z16" s="176"/>
      <c r="AA16" s="156"/>
      <c r="AB16" s="2" t="s">
        <v>113</v>
      </c>
      <c r="AC16" s="30" t="s">
        <v>112</v>
      </c>
      <c r="AD16" s="211"/>
      <c r="AE16" s="172"/>
      <c r="AF16" s="3" t="s">
        <v>101</v>
      </c>
      <c r="AG16" s="3" t="s">
        <v>106</v>
      </c>
      <c r="AH16" s="17" t="s">
        <v>136</v>
      </c>
      <c r="AI16" s="43">
        <v>701459540</v>
      </c>
      <c r="AJ16" s="17" t="s">
        <v>214</v>
      </c>
      <c r="AK16" s="16" t="s">
        <v>160</v>
      </c>
      <c r="AL16" s="3">
        <v>701459540</v>
      </c>
      <c r="AM16" s="43">
        <v>56900000</v>
      </c>
      <c r="AN16" s="104">
        <v>701459540</v>
      </c>
      <c r="AO16" s="104">
        <v>338179122</v>
      </c>
      <c r="AP16" s="66" t="s">
        <v>179</v>
      </c>
      <c r="AQ16" s="66" t="s">
        <v>268</v>
      </c>
      <c r="AR16" s="60"/>
      <c r="AS16" s="60"/>
      <c r="AT16" s="72"/>
      <c r="AU16" s="60"/>
      <c r="AV16" s="60"/>
      <c r="AW16" s="60"/>
      <c r="AX16" s="60"/>
      <c r="AY16" s="60"/>
      <c r="AZ16" s="60"/>
      <c r="BA16" s="60"/>
    </row>
    <row r="17" spans="1:53" s="33" customFormat="1" ht="51" customHeight="1" x14ac:dyDescent="0.25">
      <c r="B17" s="1" t="s">
        <v>47</v>
      </c>
      <c r="C17" s="1" t="s">
        <v>48</v>
      </c>
      <c r="D17" s="1" t="s">
        <v>50</v>
      </c>
      <c r="E17" s="2">
        <v>1049212</v>
      </c>
      <c r="F17" s="2">
        <f>+E17*13%</f>
        <v>136397.56</v>
      </c>
      <c r="G17" s="1" t="s">
        <v>64</v>
      </c>
      <c r="H17" s="1" t="s">
        <v>68</v>
      </c>
      <c r="I17" s="177">
        <v>12</v>
      </c>
      <c r="J17" s="1" t="s">
        <v>67</v>
      </c>
      <c r="K17" s="177">
        <v>15</v>
      </c>
      <c r="L17" s="177">
        <v>1</v>
      </c>
      <c r="M17" s="175">
        <v>0</v>
      </c>
      <c r="N17" s="162">
        <f>M17/L17</f>
        <v>0</v>
      </c>
      <c r="O17" s="209"/>
      <c r="P17" s="162">
        <f>M17/K17</f>
        <v>0</v>
      </c>
      <c r="Q17" s="157">
        <v>0</v>
      </c>
      <c r="R17" s="165">
        <f>Q17/L17</f>
        <v>0</v>
      </c>
      <c r="S17" s="168"/>
      <c r="T17" s="162">
        <f>Q17/K17</f>
        <v>0</v>
      </c>
      <c r="U17" s="16" t="s">
        <v>108</v>
      </c>
      <c r="V17" s="15">
        <v>2020130010259</v>
      </c>
      <c r="W17" s="1" t="s">
        <v>110</v>
      </c>
      <c r="X17" s="1" t="s">
        <v>114</v>
      </c>
      <c r="Y17" s="177">
        <v>15</v>
      </c>
      <c r="Z17" s="175">
        <v>0</v>
      </c>
      <c r="AA17" s="157">
        <v>0</v>
      </c>
      <c r="AB17" s="2" t="s">
        <v>113</v>
      </c>
      <c r="AC17" s="30" t="s">
        <v>112</v>
      </c>
      <c r="AD17" s="210">
        <f>+P17</f>
        <v>0</v>
      </c>
      <c r="AE17" s="170">
        <f t="shared" si="3"/>
        <v>0</v>
      </c>
      <c r="AF17" s="4" t="s">
        <v>101</v>
      </c>
      <c r="AG17" s="4" t="s">
        <v>106</v>
      </c>
      <c r="AH17" s="24" t="s">
        <v>104</v>
      </c>
      <c r="AI17" s="43">
        <v>1097111276</v>
      </c>
      <c r="AJ17" s="17" t="s">
        <v>214</v>
      </c>
      <c r="AK17" s="1" t="s">
        <v>212</v>
      </c>
      <c r="AL17" s="52">
        <f>15000000+1082111276</f>
        <v>1097111276</v>
      </c>
      <c r="AM17" s="52">
        <f>15000000+41810300</f>
        <v>56810300</v>
      </c>
      <c r="AN17" s="105">
        <v>1105309532</v>
      </c>
      <c r="AO17" s="105">
        <v>41810300</v>
      </c>
      <c r="AP17" s="66" t="s">
        <v>179</v>
      </c>
      <c r="AQ17" s="66" t="s">
        <v>268</v>
      </c>
      <c r="AR17" s="60"/>
      <c r="AS17" s="60"/>
      <c r="AT17" s="72"/>
      <c r="AU17" s="60"/>
      <c r="AV17" s="60"/>
      <c r="AW17" s="60"/>
      <c r="AX17" s="60"/>
      <c r="AY17" s="60"/>
      <c r="AZ17" s="60"/>
      <c r="BA17" s="60"/>
    </row>
    <row r="18" spans="1:53" s="47" customFormat="1" ht="51" customHeight="1" x14ac:dyDescent="0.25">
      <c r="B18" s="1" t="s">
        <v>47</v>
      </c>
      <c r="C18" s="1" t="s">
        <v>48</v>
      </c>
      <c r="D18" s="1" t="s">
        <v>50</v>
      </c>
      <c r="E18" s="2">
        <v>1049212</v>
      </c>
      <c r="F18" s="2">
        <f>+E18*13%</f>
        <v>136397.56</v>
      </c>
      <c r="G18" s="1" t="s">
        <v>64</v>
      </c>
      <c r="H18" s="1" t="s">
        <v>68</v>
      </c>
      <c r="I18" s="178"/>
      <c r="J18" s="1" t="s">
        <v>67</v>
      </c>
      <c r="K18" s="178"/>
      <c r="L18" s="178"/>
      <c r="M18" s="176"/>
      <c r="N18" s="163"/>
      <c r="O18" s="206"/>
      <c r="P18" s="163"/>
      <c r="Q18" s="158"/>
      <c r="R18" s="167"/>
      <c r="S18" s="169"/>
      <c r="T18" s="163"/>
      <c r="U18" s="16" t="s">
        <v>108</v>
      </c>
      <c r="V18" s="15">
        <v>2020130010259</v>
      </c>
      <c r="W18" s="1" t="s">
        <v>110</v>
      </c>
      <c r="X18" s="1" t="s">
        <v>114</v>
      </c>
      <c r="Y18" s="178"/>
      <c r="Z18" s="176"/>
      <c r="AA18" s="158"/>
      <c r="AB18" s="2" t="s">
        <v>113</v>
      </c>
      <c r="AC18" s="30" t="s">
        <v>112</v>
      </c>
      <c r="AD18" s="211"/>
      <c r="AE18" s="172"/>
      <c r="AF18" s="4" t="s">
        <v>101</v>
      </c>
      <c r="AG18" s="4" t="s">
        <v>106</v>
      </c>
      <c r="AH18" s="24" t="s">
        <v>213</v>
      </c>
      <c r="AI18" s="43">
        <v>1</v>
      </c>
      <c r="AJ18" s="17" t="s">
        <v>214</v>
      </c>
      <c r="AK18" s="1" t="s">
        <v>161</v>
      </c>
      <c r="AL18" s="52">
        <v>1</v>
      </c>
      <c r="AM18" s="53">
        <v>0</v>
      </c>
      <c r="AN18" s="105">
        <v>1</v>
      </c>
      <c r="AO18" s="107">
        <v>0</v>
      </c>
      <c r="AP18" s="66" t="s">
        <v>180</v>
      </c>
      <c r="AQ18" s="66" t="s">
        <v>281</v>
      </c>
      <c r="AR18" s="60"/>
      <c r="AS18" s="60"/>
      <c r="AT18" s="72"/>
      <c r="AU18" s="60"/>
      <c r="AV18" s="60"/>
      <c r="AW18" s="60"/>
      <c r="AX18" s="60"/>
      <c r="AY18" s="60"/>
      <c r="AZ18" s="60"/>
      <c r="BA18" s="60"/>
    </row>
    <row r="19" spans="1:53" s="33" customFormat="1" ht="226.5" customHeight="1" x14ac:dyDescent="0.25">
      <c r="B19" s="8" t="s">
        <v>47</v>
      </c>
      <c r="C19" s="8" t="s">
        <v>48</v>
      </c>
      <c r="D19" s="8" t="s">
        <v>24</v>
      </c>
      <c r="E19" s="9">
        <v>1049212</v>
      </c>
      <c r="F19" s="9">
        <f>+E19*8%</f>
        <v>83936.960000000006</v>
      </c>
      <c r="G19" s="8" t="s">
        <v>79</v>
      </c>
      <c r="H19" s="8" t="s">
        <v>25</v>
      </c>
      <c r="I19" s="34">
        <v>13310</v>
      </c>
      <c r="J19" s="8" t="s">
        <v>80</v>
      </c>
      <c r="K19" s="179">
        <v>14131</v>
      </c>
      <c r="L19" s="179">
        <v>9421</v>
      </c>
      <c r="M19" s="179">
        <f>3320+2102+490+3302</f>
        <v>9214</v>
      </c>
      <c r="N19" s="162">
        <f>(M19+M22)/L19</f>
        <v>0.9780278102112302</v>
      </c>
      <c r="O19" s="162">
        <f>(N19+N23+N24)/3</f>
        <v>0.98037936480747723</v>
      </c>
      <c r="P19" s="162">
        <f>M19/K19</f>
        <v>0.6520416106432666</v>
      </c>
      <c r="Q19" s="154">
        <v>13292</v>
      </c>
      <c r="R19" s="165">
        <v>1</v>
      </c>
      <c r="S19" s="160">
        <f>(R19+R23+R24)/3</f>
        <v>0.99882380616325561</v>
      </c>
      <c r="T19" s="162">
        <v>1</v>
      </c>
      <c r="U19" s="32" t="s">
        <v>29</v>
      </c>
      <c r="V19" s="35">
        <v>2020130010088</v>
      </c>
      <c r="W19" s="26" t="s">
        <v>28</v>
      </c>
      <c r="X19" s="46" t="s">
        <v>149</v>
      </c>
      <c r="Y19" s="179">
        <v>14131</v>
      </c>
      <c r="Z19" s="179">
        <f>3320+2102+490</f>
        <v>5912</v>
      </c>
      <c r="AA19" s="154">
        <f>Z19+Z22+379+71+1240+855+277+192+47+1017</f>
        <v>13292</v>
      </c>
      <c r="AB19" s="9" t="s">
        <v>100</v>
      </c>
      <c r="AC19" s="9" t="s">
        <v>135</v>
      </c>
      <c r="AD19" s="186">
        <f>+P19</f>
        <v>0.6520416106432666</v>
      </c>
      <c r="AE19" s="170">
        <v>1</v>
      </c>
      <c r="AF19" s="9" t="s">
        <v>130</v>
      </c>
      <c r="AG19" s="9" t="s">
        <v>131</v>
      </c>
      <c r="AH19" s="26" t="s">
        <v>30</v>
      </c>
      <c r="AI19" s="34">
        <v>158766265</v>
      </c>
      <c r="AJ19" s="26" t="s">
        <v>234</v>
      </c>
      <c r="AK19" s="46" t="s">
        <v>31</v>
      </c>
      <c r="AL19" s="34">
        <v>158766265</v>
      </c>
      <c r="AM19" s="34">
        <v>10360000</v>
      </c>
      <c r="AN19" s="104">
        <v>158766265</v>
      </c>
      <c r="AO19" s="104">
        <v>87142459</v>
      </c>
      <c r="AP19" s="68" t="s">
        <v>235</v>
      </c>
      <c r="AQ19" s="68" t="s">
        <v>282</v>
      </c>
      <c r="AR19" s="60"/>
      <c r="AS19" s="60"/>
      <c r="AT19" s="72"/>
      <c r="AU19" s="60"/>
      <c r="AV19" s="60"/>
      <c r="AW19" s="60"/>
      <c r="AX19" s="60"/>
      <c r="AY19" s="60"/>
      <c r="AZ19" s="60"/>
      <c r="BA19" s="60"/>
    </row>
    <row r="20" spans="1:53" s="33" customFormat="1" ht="51" customHeight="1" x14ac:dyDescent="0.25">
      <c r="B20" s="8" t="s">
        <v>47</v>
      </c>
      <c r="C20" s="8" t="s">
        <v>48</v>
      </c>
      <c r="D20" s="8" t="s">
        <v>24</v>
      </c>
      <c r="E20" s="9">
        <v>1049212</v>
      </c>
      <c r="F20" s="9">
        <f>+E20*8%</f>
        <v>83936.960000000006</v>
      </c>
      <c r="G20" s="8" t="s">
        <v>79</v>
      </c>
      <c r="H20" s="8" t="s">
        <v>25</v>
      </c>
      <c r="I20" s="34">
        <v>13310</v>
      </c>
      <c r="J20" s="8" t="s">
        <v>80</v>
      </c>
      <c r="K20" s="180"/>
      <c r="L20" s="180"/>
      <c r="M20" s="180"/>
      <c r="N20" s="164"/>
      <c r="O20" s="164"/>
      <c r="P20" s="164"/>
      <c r="Q20" s="196"/>
      <c r="R20" s="166"/>
      <c r="S20" s="168"/>
      <c r="T20" s="164"/>
      <c r="U20" s="32" t="s">
        <v>29</v>
      </c>
      <c r="V20" s="35">
        <v>2020130010088</v>
      </c>
      <c r="W20" s="26" t="s">
        <v>28</v>
      </c>
      <c r="X20" s="46" t="s">
        <v>149</v>
      </c>
      <c r="Y20" s="180"/>
      <c r="Z20" s="180"/>
      <c r="AA20" s="196"/>
      <c r="AB20" s="9" t="s">
        <v>100</v>
      </c>
      <c r="AC20" s="9" t="s">
        <v>135</v>
      </c>
      <c r="AD20" s="187"/>
      <c r="AE20" s="171"/>
      <c r="AF20" s="9" t="s">
        <v>130</v>
      </c>
      <c r="AG20" s="9" t="s">
        <v>131</v>
      </c>
      <c r="AH20" s="26" t="s">
        <v>224</v>
      </c>
      <c r="AI20" s="34">
        <v>86800000</v>
      </c>
      <c r="AJ20" s="26" t="s">
        <v>234</v>
      </c>
      <c r="AK20" s="46" t="s">
        <v>165</v>
      </c>
      <c r="AL20" s="34">
        <v>86800000</v>
      </c>
      <c r="AM20" s="34">
        <v>85995000</v>
      </c>
      <c r="AN20" s="104">
        <v>86800000</v>
      </c>
      <c r="AO20" s="104">
        <v>86800000</v>
      </c>
      <c r="AP20" s="68" t="s">
        <v>235</v>
      </c>
      <c r="AQ20" s="68" t="s">
        <v>282</v>
      </c>
      <c r="AR20" s="60"/>
      <c r="AS20" s="60"/>
      <c r="AT20" s="72"/>
      <c r="AU20" s="60"/>
      <c r="AV20" s="60"/>
      <c r="AW20" s="60"/>
      <c r="AX20" s="60"/>
      <c r="AY20" s="60"/>
      <c r="AZ20" s="60"/>
      <c r="BA20" s="60"/>
    </row>
    <row r="21" spans="1:53" s="47" customFormat="1" ht="51" customHeight="1" x14ac:dyDescent="0.25">
      <c r="A21" s="60"/>
      <c r="B21" s="8" t="s">
        <v>47</v>
      </c>
      <c r="C21" s="8" t="s">
        <v>48</v>
      </c>
      <c r="D21" s="8" t="s">
        <v>24</v>
      </c>
      <c r="E21" s="9">
        <v>1049212</v>
      </c>
      <c r="F21" s="9">
        <f>+E21*8%</f>
        <v>83936.960000000006</v>
      </c>
      <c r="G21" s="8" t="s">
        <v>79</v>
      </c>
      <c r="H21" s="8" t="s">
        <v>25</v>
      </c>
      <c r="I21" s="34">
        <v>13310</v>
      </c>
      <c r="J21" s="8" t="s">
        <v>80</v>
      </c>
      <c r="K21" s="180"/>
      <c r="L21" s="180"/>
      <c r="M21" s="180"/>
      <c r="N21" s="164"/>
      <c r="O21" s="164"/>
      <c r="P21" s="164"/>
      <c r="Q21" s="196"/>
      <c r="R21" s="166"/>
      <c r="S21" s="168"/>
      <c r="T21" s="164"/>
      <c r="U21" s="46" t="s">
        <v>29</v>
      </c>
      <c r="V21" s="35">
        <v>2020130010088</v>
      </c>
      <c r="W21" s="26" t="s">
        <v>28</v>
      </c>
      <c r="X21" s="46" t="s">
        <v>149</v>
      </c>
      <c r="Y21" s="180"/>
      <c r="Z21" s="181"/>
      <c r="AA21" s="196"/>
      <c r="AB21" s="9" t="s">
        <v>100</v>
      </c>
      <c r="AC21" s="9" t="s">
        <v>135</v>
      </c>
      <c r="AD21" s="187"/>
      <c r="AE21" s="171"/>
      <c r="AF21" s="9" t="s">
        <v>130</v>
      </c>
      <c r="AG21" s="9" t="s">
        <v>131</v>
      </c>
      <c r="AH21" s="26" t="s">
        <v>105</v>
      </c>
      <c r="AI21" s="34">
        <v>20032722</v>
      </c>
      <c r="AJ21" s="26" t="s">
        <v>234</v>
      </c>
      <c r="AK21" s="46" t="s">
        <v>138</v>
      </c>
      <c r="AL21" s="34">
        <v>20032722</v>
      </c>
      <c r="AM21" s="34">
        <v>0</v>
      </c>
      <c r="AN21" s="104">
        <v>20032722</v>
      </c>
      <c r="AO21" s="104">
        <v>0</v>
      </c>
      <c r="AP21" s="68" t="s">
        <v>235</v>
      </c>
      <c r="AQ21" s="68" t="s">
        <v>282</v>
      </c>
      <c r="AR21" s="60"/>
      <c r="AS21" s="60"/>
      <c r="AT21" s="72"/>
      <c r="AU21" s="60"/>
      <c r="AV21" s="60"/>
      <c r="AW21" s="60"/>
      <c r="AX21" s="60"/>
      <c r="AY21" s="60"/>
      <c r="AZ21" s="60"/>
      <c r="BA21" s="60"/>
    </row>
    <row r="22" spans="1:53" s="33" customFormat="1" ht="207.75" customHeight="1" x14ac:dyDescent="0.25">
      <c r="B22" s="8" t="s">
        <v>47</v>
      </c>
      <c r="C22" s="8" t="s">
        <v>48</v>
      </c>
      <c r="D22" s="8" t="s">
        <v>24</v>
      </c>
      <c r="E22" s="9">
        <v>1049212</v>
      </c>
      <c r="F22" s="9">
        <f>+E22*8%</f>
        <v>83936.960000000006</v>
      </c>
      <c r="G22" s="8" t="s">
        <v>79</v>
      </c>
      <c r="H22" s="8" t="s">
        <v>25</v>
      </c>
      <c r="I22" s="34">
        <v>13310</v>
      </c>
      <c r="J22" s="8" t="s">
        <v>80</v>
      </c>
      <c r="K22" s="181"/>
      <c r="L22" s="181"/>
      <c r="M22" s="181"/>
      <c r="N22" s="163"/>
      <c r="O22" s="164"/>
      <c r="P22" s="163"/>
      <c r="Q22" s="155"/>
      <c r="R22" s="167"/>
      <c r="S22" s="168"/>
      <c r="T22" s="163"/>
      <c r="U22" s="32" t="s">
        <v>26</v>
      </c>
      <c r="V22" s="35">
        <v>2020130010055</v>
      </c>
      <c r="W22" s="26" t="s">
        <v>13</v>
      </c>
      <c r="X22" s="46" t="s">
        <v>150</v>
      </c>
      <c r="Y22" s="181"/>
      <c r="Z22" s="34">
        <v>3302</v>
      </c>
      <c r="AA22" s="155"/>
      <c r="AB22" s="9" t="s">
        <v>100</v>
      </c>
      <c r="AC22" s="9" t="s">
        <v>135</v>
      </c>
      <c r="AD22" s="188"/>
      <c r="AE22" s="172"/>
      <c r="AF22" s="9" t="s">
        <v>130</v>
      </c>
      <c r="AG22" s="9" t="s">
        <v>131</v>
      </c>
      <c r="AH22" s="46" t="s">
        <v>136</v>
      </c>
      <c r="AI22" s="34">
        <f>16528050+264055766</f>
        <v>280583816</v>
      </c>
      <c r="AJ22" s="26" t="s">
        <v>236</v>
      </c>
      <c r="AK22" s="26" t="s">
        <v>137</v>
      </c>
      <c r="AL22" s="34">
        <f>+AI22</f>
        <v>280583816</v>
      </c>
      <c r="AM22" s="34">
        <f>16528050+124934250</f>
        <v>141462300</v>
      </c>
      <c r="AN22" s="104">
        <v>264055766</v>
      </c>
      <c r="AO22" s="104">
        <v>139564705</v>
      </c>
      <c r="AP22" s="68" t="s">
        <v>190</v>
      </c>
      <c r="AQ22" s="68" t="s">
        <v>283</v>
      </c>
      <c r="AR22" s="60"/>
      <c r="AS22" s="60"/>
      <c r="AT22" s="72"/>
      <c r="AU22" s="60"/>
      <c r="AV22" s="60"/>
      <c r="AW22" s="60"/>
      <c r="AX22" s="60"/>
      <c r="AY22" s="60"/>
      <c r="AZ22" s="60"/>
      <c r="BA22" s="60"/>
    </row>
    <row r="23" spans="1:53" s="33" customFormat="1" ht="51" customHeight="1" x14ac:dyDescent="0.25">
      <c r="B23" s="8" t="s">
        <v>47</v>
      </c>
      <c r="C23" s="8" t="s">
        <v>48</v>
      </c>
      <c r="D23" s="8" t="s">
        <v>24</v>
      </c>
      <c r="E23" s="9">
        <v>1049212</v>
      </c>
      <c r="F23" s="9">
        <f t="shared" ref="F23:F24" si="4">+E23*8%</f>
        <v>83936.960000000006</v>
      </c>
      <c r="G23" s="8" t="s">
        <v>79</v>
      </c>
      <c r="H23" s="8" t="s">
        <v>82</v>
      </c>
      <c r="I23" s="34">
        <v>14300</v>
      </c>
      <c r="J23" s="8" t="s">
        <v>81</v>
      </c>
      <c r="K23" s="34">
        <v>19448</v>
      </c>
      <c r="L23" s="34">
        <v>15587</v>
      </c>
      <c r="M23" s="34">
        <v>15012</v>
      </c>
      <c r="N23" s="91">
        <f>+M23/L23</f>
        <v>0.96311028421120159</v>
      </c>
      <c r="O23" s="164"/>
      <c r="P23" s="91">
        <f>M23/K23</f>
        <v>0.77190456602221313</v>
      </c>
      <c r="Q23" s="114">
        <f>15012+520</f>
        <v>15532</v>
      </c>
      <c r="R23" s="95">
        <f>Q23/L23</f>
        <v>0.99647141848976717</v>
      </c>
      <c r="S23" s="168"/>
      <c r="T23" s="91">
        <f>Q23/K23</f>
        <v>0.79864253393665163</v>
      </c>
      <c r="U23" s="32" t="s">
        <v>26</v>
      </c>
      <c r="V23" s="35">
        <v>2020130010055</v>
      </c>
      <c r="W23" s="26" t="s">
        <v>13</v>
      </c>
      <c r="X23" s="46" t="s">
        <v>150</v>
      </c>
      <c r="Y23" s="34">
        <v>19448</v>
      </c>
      <c r="Z23" s="34">
        <v>15012</v>
      </c>
      <c r="AA23" s="98">
        <f>15012+520</f>
        <v>15532</v>
      </c>
      <c r="AB23" s="9" t="s">
        <v>100</v>
      </c>
      <c r="AC23" s="9" t="s">
        <v>135</v>
      </c>
      <c r="AD23" s="79">
        <f>+P23</f>
        <v>0.77190456602221313</v>
      </c>
      <c r="AE23" s="102">
        <f>AA23/K23</f>
        <v>0.79864253393665163</v>
      </c>
      <c r="AF23" s="9" t="s">
        <v>130</v>
      </c>
      <c r="AG23" s="9" t="s">
        <v>131</v>
      </c>
      <c r="AH23" s="46" t="s">
        <v>104</v>
      </c>
      <c r="AI23" s="34">
        <f>(611185540+11018700)/2</f>
        <v>311102120</v>
      </c>
      <c r="AJ23" s="26" t="s">
        <v>236</v>
      </c>
      <c r="AK23" s="26" t="s">
        <v>14</v>
      </c>
      <c r="AL23" s="34">
        <f t="shared" ref="AL23:AL24" si="5">+AI23</f>
        <v>311102120</v>
      </c>
      <c r="AM23" s="34">
        <f>(11018700+524721370)/2</f>
        <v>267870035</v>
      </c>
      <c r="AN23" s="104">
        <v>305592770</v>
      </c>
      <c r="AO23" s="104">
        <v>289468718.5</v>
      </c>
      <c r="AP23" s="68" t="s">
        <v>189</v>
      </c>
      <c r="AQ23" s="68" t="s">
        <v>280</v>
      </c>
      <c r="AR23" s="60"/>
      <c r="AS23" s="60"/>
      <c r="AT23" s="72"/>
      <c r="AU23" s="60"/>
      <c r="AV23" s="60"/>
      <c r="AW23" s="60"/>
      <c r="AX23" s="60"/>
      <c r="AY23" s="60"/>
      <c r="AZ23" s="60"/>
      <c r="BA23" s="60"/>
    </row>
    <row r="24" spans="1:53" s="33" customFormat="1" ht="51" customHeight="1" x14ac:dyDescent="0.25">
      <c r="B24" s="8" t="s">
        <v>47</v>
      </c>
      <c r="C24" s="8" t="s">
        <v>48</v>
      </c>
      <c r="D24" s="8" t="s">
        <v>24</v>
      </c>
      <c r="E24" s="9">
        <v>1049212</v>
      </c>
      <c r="F24" s="9">
        <f t="shared" si="4"/>
        <v>83936.960000000006</v>
      </c>
      <c r="G24" s="8" t="s">
        <v>79</v>
      </c>
      <c r="H24" s="8" t="s">
        <v>84</v>
      </c>
      <c r="I24" s="34">
        <v>28</v>
      </c>
      <c r="J24" s="8" t="s">
        <v>83</v>
      </c>
      <c r="K24" s="34">
        <v>18</v>
      </c>
      <c r="L24" s="34">
        <v>2</v>
      </c>
      <c r="M24" s="34">
        <v>2</v>
      </c>
      <c r="N24" s="91">
        <f>+M24/L24</f>
        <v>1</v>
      </c>
      <c r="O24" s="163"/>
      <c r="P24" s="91">
        <f>M24/K24</f>
        <v>0.1111111111111111</v>
      </c>
      <c r="Q24" s="114">
        <v>4</v>
      </c>
      <c r="R24" s="95">
        <v>1</v>
      </c>
      <c r="S24" s="169"/>
      <c r="T24" s="91">
        <f>Q24/K24</f>
        <v>0.22222222222222221</v>
      </c>
      <c r="U24" s="32" t="s">
        <v>26</v>
      </c>
      <c r="V24" s="35">
        <v>2020130010055</v>
      </c>
      <c r="W24" s="26" t="s">
        <v>13</v>
      </c>
      <c r="X24" s="46" t="s">
        <v>150</v>
      </c>
      <c r="Y24" s="34">
        <v>18</v>
      </c>
      <c r="Z24" s="34">
        <v>2</v>
      </c>
      <c r="AA24" s="114">
        <v>4</v>
      </c>
      <c r="AB24" s="9" t="s">
        <v>100</v>
      </c>
      <c r="AC24" s="9" t="s">
        <v>135</v>
      </c>
      <c r="AD24" s="79">
        <f>+P24</f>
        <v>0.1111111111111111</v>
      </c>
      <c r="AE24" s="102">
        <f>AA24/K24</f>
        <v>0.22222222222222221</v>
      </c>
      <c r="AF24" s="9" t="s">
        <v>130</v>
      </c>
      <c r="AG24" s="9" t="s">
        <v>131</v>
      </c>
      <c r="AH24" s="46" t="s">
        <v>104</v>
      </c>
      <c r="AI24" s="34">
        <f>(611185540+11018700)/2</f>
        <v>311102120</v>
      </c>
      <c r="AJ24" s="26" t="s">
        <v>236</v>
      </c>
      <c r="AK24" s="26" t="s">
        <v>14</v>
      </c>
      <c r="AL24" s="34">
        <f t="shared" si="5"/>
        <v>311102120</v>
      </c>
      <c r="AM24" s="34">
        <f>(11018700+524721370)/2</f>
        <v>267870035</v>
      </c>
      <c r="AN24" s="104">
        <v>305592770</v>
      </c>
      <c r="AO24" s="104">
        <v>289468718.5</v>
      </c>
      <c r="AP24" s="68" t="s">
        <v>189</v>
      </c>
      <c r="AQ24" s="68" t="s">
        <v>286</v>
      </c>
      <c r="AR24" s="60"/>
      <c r="AS24" s="60"/>
      <c r="AT24" s="72"/>
      <c r="AU24" s="60"/>
      <c r="AV24" s="60"/>
      <c r="AW24" s="60"/>
      <c r="AX24" s="60"/>
      <c r="AY24" s="60"/>
      <c r="AZ24" s="60"/>
      <c r="BA24" s="60"/>
    </row>
    <row r="25" spans="1:53" s="33" customFormat="1" ht="51" customHeight="1" x14ac:dyDescent="0.25">
      <c r="A25" s="60"/>
      <c r="B25" s="10" t="s">
        <v>47</v>
      </c>
      <c r="C25" s="10" t="s">
        <v>48</v>
      </c>
      <c r="D25" s="10" t="s">
        <v>24</v>
      </c>
      <c r="E25" s="11">
        <v>1049212</v>
      </c>
      <c r="F25" s="11">
        <f t="shared" ref="F25:F31" si="6">+E25*8%</f>
        <v>83936.960000000006</v>
      </c>
      <c r="G25" s="10" t="s">
        <v>85</v>
      </c>
      <c r="H25" s="10" t="s">
        <v>87</v>
      </c>
      <c r="I25" s="48">
        <v>27432</v>
      </c>
      <c r="J25" s="10" t="s">
        <v>86</v>
      </c>
      <c r="K25" s="182">
        <v>24984.400000000001</v>
      </c>
      <c r="L25" s="182">
        <v>19630.599999999999</v>
      </c>
      <c r="M25" s="195">
        <v>2253</v>
      </c>
      <c r="N25" s="162">
        <f>+(M25+M28+M32+M35)/L25</f>
        <v>0.14059682332684686</v>
      </c>
      <c r="O25" s="162">
        <f>(N25+N37+N38)/3</f>
        <v>0.474671792338557</v>
      </c>
      <c r="P25" s="162">
        <f>(M25+M28+M32+M35)/K25</f>
        <v>0.1104689326139511</v>
      </c>
      <c r="Q25" s="150">
        <v>4370</v>
      </c>
      <c r="R25" s="165">
        <f>(Q25+Q28+Q32+Q35)/L25</f>
        <v>0.35602579646062782</v>
      </c>
      <c r="S25" s="160">
        <f>(R25+R37+R38)/3</f>
        <v>0.5464814500498173</v>
      </c>
      <c r="T25" s="162">
        <f>(Q25+Q28+Q32+Q35)/K25</f>
        <v>0.27973455436192185</v>
      </c>
      <c r="U25" s="27" t="s">
        <v>142</v>
      </c>
      <c r="V25" s="36">
        <v>2020130010258</v>
      </c>
      <c r="W25" s="45" t="s">
        <v>148</v>
      </c>
      <c r="X25" s="45" t="s">
        <v>147</v>
      </c>
      <c r="Y25" s="182">
        <v>24984.400000000001</v>
      </c>
      <c r="Z25" s="195">
        <v>2253</v>
      </c>
      <c r="AA25" s="150">
        <f>Z25+1339+523+191+64</f>
        <v>4370</v>
      </c>
      <c r="AB25" s="11" t="s">
        <v>100</v>
      </c>
      <c r="AC25" s="11" t="s">
        <v>135</v>
      </c>
      <c r="AD25" s="189">
        <f>+P25</f>
        <v>0.1104689326139511</v>
      </c>
      <c r="AE25" s="170">
        <f>(AA25+AA28+AA32+AA35)/K25</f>
        <v>0.27973455436192185</v>
      </c>
      <c r="AF25" s="11" t="s">
        <v>130</v>
      </c>
      <c r="AG25" s="11" t="s">
        <v>131</v>
      </c>
      <c r="AH25" s="27" t="s">
        <v>30</v>
      </c>
      <c r="AI25" s="48">
        <f>44050000+82266730</f>
        <v>126316730</v>
      </c>
      <c r="AJ25" s="27" t="s">
        <v>220</v>
      </c>
      <c r="AK25" s="45" t="s">
        <v>221</v>
      </c>
      <c r="AL25" s="48">
        <f>+AI25</f>
        <v>126316730</v>
      </c>
      <c r="AM25" s="48">
        <v>44050000</v>
      </c>
      <c r="AN25" s="104">
        <v>82266730</v>
      </c>
      <c r="AO25" s="104">
        <v>27542463</v>
      </c>
      <c r="AP25" s="64" t="s">
        <v>197</v>
      </c>
      <c r="AQ25" s="64" t="s">
        <v>272</v>
      </c>
      <c r="AR25" s="60"/>
      <c r="AS25" s="60"/>
      <c r="AT25" s="72"/>
      <c r="AU25" s="60"/>
      <c r="AV25" s="60"/>
      <c r="AW25" s="60"/>
      <c r="AX25" s="60"/>
      <c r="AY25" s="60"/>
      <c r="AZ25" s="60"/>
      <c r="BA25" s="60"/>
    </row>
    <row r="26" spans="1:53" s="47" customFormat="1" ht="51" customHeight="1" x14ac:dyDescent="0.25">
      <c r="A26" s="60"/>
      <c r="B26" s="10" t="s">
        <v>47</v>
      </c>
      <c r="C26" s="10" t="s">
        <v>48</v>
      </c>
      <c r="D26" s="10" t="s">
        <v>24</v>
      </c>
      <c r="E26" s="11">
        <v>1049212</v>
      </c>
      <c r="F26" s="11">
        <f t="shared" ref="F26" si="7">+E26*8%</f>
        <v>83936.960000000006</v>
      </c>
      <c r="G26" s="10" t="s">
        <v>85</v>
      </c>
      <c r="H26" s="10" t="s">
        <v>87</v>
      </c>
      <c r="I26" s="48">
        <v>27432</v>
      </c>
      <c r="J26" s="10" t="s">
        <v>86</v>
      </c>
      <c r="K26" s="183"/>
      <c r="L26" s="183"/>
      <c r="M26" s="195"/>
      <c r="N26" s="164"/>
      <c r="O26" s="164"/>
      <c r="P26" s="164"/>
      <c r="Q26" s="150"/>
      <c r="R26" s="166"/>
      <c r="S26" s="168"/>
      <c r="T26" s="164"/>
      <c r="U26" s="27" t="s">
        <v>142</v>
      </c>
      <c r="V26" s="36">
        <v>2020130010258</v>
      </c>
      <c r="W26" s="45" t="s">
        <v>148</v>
      </c>
      <c r="X26" s="45" t="s">
        <v>147</v>
      </c>
      <c r="Y26" s="183"/>
      <c r="Z26" s="195"/>
      <c r="AA26" s="150"/>
      <c r="AB26" s="11" t="s">
        <v>100</v>
      </c>
      <c r="AC26" s="11" t="s">
        <v>135</v>
      </c>
      <c r="AD26" s="190"/>
      <c r="AE26" s="171"/>
      <c r="AF26" s="11" t="s">
        <v>130</v>
      </c>
      <c r="AG26" s="11" t="s">
        <v>131</v>
      </c>
      <c r="AH26" s="27" t="s">
        <v>136</v>
      </c>
      <c r="AI26" s="48">
        <v>44353050</v>
      </c>
      <c r="AJ26" s="27" t="s">
        <v>220</v>
      </c>
      <c r="AK26" s="118" t="s">
        <v>222</v>
      </c>
      <c r="AL26" s="119">
        <f t="shared" ref="AL26:AL27" si="8">+AI26</f>
        <v>44353050</v>
      </c>
      <c r="AM26" s="48">
        <v>44353050</v>
      </c>
      <c r="AN26" s="104">
        <v>0</v>
      </c>
      <c r="AO26" s="104">
        <v>0</v>
      </c>
      <c r="AP26" s="64" t="s">
        <v>197</v>
      </c>
      <c r="AQ26" s="64" t="s">
        <v>272</v>
      </c>
      <c r="AR26" s="60"/>
      <c r="AS26" s="60"/>
      <c r="AT26" s="72"/>
      <c r="AU26" s="60"/>
      <c r="AV26" s="60"/>
      <c r="AW26" s="60"/>
      <c r="AX26" s="60"/>
      <c r="AY26" s="60"/>
      <c r="AZ26" s="60"/>
      <c r="BA26" s="60"/>
    </row>
    <row r="27" spans="1:53" s="59" customFormat="1" ht="51" customHeight="1" x14ac:dyDescent="0.25">
      <c r="A27" s="60"/>
      <c r="B27" s="10" t="s">
        <v>47</v>
      </c>
      <c r="C27" s="10" t="s">
        <v>48</v>
      </c>
      <c r="D27" s="10" t="s">
        <v>24</v>
      </c>
      <c r="E27" s="11">
        <v>1049212</v>
      </c>
      <c r="F27" s="11">
        <f t="shared" si="6"/>
        <v>83936.960000000006</v>
      </c>
      <c r="G27" s="10" t="s">
        <v>85</v>
      </c>
      <c r="H27" s="10" t="s">
        <v>87</v>
      </c>
      <c r="I27" s="48">
        <v>27432</v>
      </c>
      <c r="J27" s="10" t="s">
        <v>86</v>
      </c>
      <c r="K27" s="183"/>
      <c r="L27" s="183"/>
      <c r="M27" s="195"/>
      <c r="N27" s="164"/>
      <c r="O27" s="164"/>
      <c r="P27" s="164"/>
      <c r="Q27" s="150"/>
      <c r="R27" s="166"/>
      <c r="S27" s="168"/>
      <c r="T27" s="164"/>
      <c r="U27" s="27" t="s">
        <v>142</v>
      </c>
      <c r="V27" s="36">
        <v>2020130010258</v>
      </c>
      <c r="W27" s="45" t="s">
        <v>148</v>
      </c>
      <c r="X27" s="45" t="s">
        <v>147</v>
      </c>
      <c r="Y27" s="183"/>
      <c r="Z27" s="195"/>
      <c r="AA27" s="150"/>
      <c r="AB27" s="11" t="s">
        <v>100</v>
      </c>
      <c r="AC27" s="11" t="s">
        <v>135</v>
      </c>
      <c r="AD27" s="190"/>
      <c r="AE27" s="171"/>
      <c r="AF27" s="11" t="s">
        <v>130</v>
      </c>
      <c r="AG27" s="11" t="s">
        <v>131</v>
      </c>
      <c r="AH27" s="27" t="s">
        <v>141</v>
      </c>
      <c r="AI27" s="48">
        <v>57831728</v>
      </c>
      <c r="AJ27" s="27" t="s">
        <v>220</v>
      </c>
      <c r="AK27" s="45" t="s">
        <v>223</v>
      </c>
      <c r="AL27" s="48">
        <f t="shared" si="8"/>
        <v>57831728</v>
      </c>
      <c r="AM27" s="48">
        <v>0</v>
      </c>
      <c r="AN27" s="104">
        <v>57831728</v>
      </c>
      <c r="AO27" s="104">
        <v>0</v>
      </c>
      <c r="AP27" s="64" t="s">
        <v>197</v>
      </c>
      <c r="AQ27" s="64" t="s">
        <v>272</v>
      </c>
      <c r="AR27" s="60"/>
      <c r="AS27" s="60"/>
      <c r="AT27" s="72"/>
      <c r="AU27" s="60"/>
      <c r="AV27" s="60"/>
      <c r="AW27" s="60"/>
      <c r="AX27" s="60"/>
      <c r="AY27" s="60"/>
      <c r="AZ27" s="60"/>
      <c r="BA27" s="60"/>
    </row>
    <row r="28" spans="1:53" s="33" customFormat="1" ht="161.25" customHeight="1" x14ac:dyDescent="0.25">
      <c r="A28" s="60"/>
      <c r="B28" s="10" t="s">
        <v>47</v>
      </c>
      <c r="C28" s="10" t="s">
        <v>48</v>
      </c>
      <c r="D28" s="10" t="s">
        <v>24</v>
      </c>
      <c r="E28" s="11">
        <v>1049212</v>
      </c>
      <c r="F28" s="11">
        <f t="shared" si="6"/>
        <v>83936.960000000006</v>
      </c>
      <c r="G28" s="10" t="s">
        <v>85</v>
      </c>
      <c r="H28" s="10" t="s">
        <v>87</v>
      </c>
      <c r="I28" s="48">
        <v>27432</v>
      </c>
      <c r="J28" s="10" t="s">
        <v>86</v>
      </c>
      <c r="K28" s="183"/>
      <c r="L28" s="183"/>
      <c r="M28" s="182">
        <v>362</v>
      </c>
      <c r="N28" s="164"/>
      <c r="O28" s="164"/>
      <c r="P28" s="164"/>
      <c r="Q28" s="150">
        <v>364</v>
      </c>
      <c r="R28" s="166"/>
      <c r="S28" s="168"/>
      <c r="T28" s="164"/>
      <c r="U28" s="27" t="s">
        <v>42</v>
      </c>
      <c r="V28" s="36">
        <v>2020130010141</v>
      </c>
      <c r="W28" s="31" t="s">
        <v>143</v>
      </c>
      <c r="X28" s="45" t="s">
        <v>151</v>
      </c>
      <c r="Y28" s="183"/>
      <c r="Z28" s="182">
        <v>361</v>
      </c>
      <c r="AA28" s="150">
        <v>364</v>
      </c>
      <c r="AB28" s="11" t="s">
        <v>100</v>
      </c>
      <c r="AC28" s="11" t="s">
        <v>135</v>
      </c>
      <c r="AD28" s="190"/>
      <c r="AE28" s="171"/>
      <c r="AF28" s="11" t="s">
        <v>130</v>
      </c>
      <c r="AG28" s="11" t="s">
        <v>131</v>
      </c>
      <c r="AH28" s="27" t="s">
        <v>30</v>
      </c>
      <c r="AI28" s="48">
        <v>64000939</v>
      </c>
      <c r="AJ28" s="27" t="s">
        <v>225</v>
      </c>
      <c r="AK28" s="45" t="s">
        <v>171</v>
      </c>
      <c r="AL28" s="48">
        <f>+AI28</f>
        <v>64000939</v>
      </c>
      <c r="AM28" s="48">
        <v>18364500</v>
      </c>
      <c r="AN28" s="104">
        <v>64000939</v>
      </c>
      <c r="AO28" s="104">
        <v>45104500</v>
      </c>
      <c r="AP28" s="64" t="s">
        <v>197</v>
      </c>
      <c r="AQ28" s="64" t="s">
        <v>271</v>
      </c>
      <c r="AR28" s="60"/>
      <c r="AS28" s="60"/>
      <c r="AT28" s="72"/>
      <c r="AU28" s="60"/>
      <c r="AV28" s="60"/>
      <c r="AW28" s="60"/>
      <c r="AX28" s="60"/>
      <c r="AY28" s="60"/>
      <c r="AZ28" s="60"/>
      <c r="BA28" s="60"/>
    </row>
    <row r="29" spans="1:53" s="55" customFormat="1" ht="51" customHeight="1" x14ac:dyDescent="0.25">
      <c r="A29" s="60"/>
      <c r="B29" s="10" t="s">
        <v>47</v>
      </c>
      <c r="C29" s="10" t="s">
        <v>48</v>
      </c>
      <c r="D29" s="10" t="s">
        <v>24</v>
      </c>
      <c r="E29" s="11">
        <v>1049212</v>
      </c>
      <c r="F29" s="11">
        <f t="shared" ref="F29" si="9">+E29*8%</f>
        <v>83936.960000000006</v>
      </c>
      <c r="G29" s="10" t="s">
        <v>85</v>
      </c>
      <c r="H29" s="10" t="s">
        <v>87</v>
      </c>
      <c r="I29" s="48">
        <v>27432</v>
      </c>
      <c r="J29" s="10" t="s">
        <v>86</v>
      </c>
      <c r="K29" s="183"/>
      <c r="L29" s="183"/>
      <c r="M29" s="183"/>
      <c r="N29" s="164"/>
      <c r="O29" s="164"/>
      <c r="P29" s="164"/>
      <c r="Q29" s="150"/>
      <c r="R29" s="166"/>
      <c r="S29" s="168"/>
      <c r="T29" s="164"/>
      <c r="U29" s="27" t="s">
        <v>42</v>
      </c>
      <c r="V29" s="36">
        <v>2020130010141</v>
      </c>
      <c r="W29" s="45" t="s">
        <v>143</v>
      </c>
      <c r="X29" s="45" t="s">
        <v>151</v>
      </c>
      <c r="Y29" s="183"/>
      <c r="Z29" s="183"/>
      <c r="AA29" s="150"/>
      <c r="AB29" s="11" t="s">
        <v>100</v>
      </c>
      <c r="AC29" s="11" t="s">
        <v>135</v>
      </c>
      <c r="AD29" s="190"/>
      <c r="AE29" s="171"/>
      <c r="AF29" s="11" t="s">
        <v>130</v>
      </c>
      <c r="AG29" s="11" t="s">
        <v>131</v>
      </c>
      <c r="AH29" s="27" t="s">
        <v>136</v>
      </c>
      <c r="AI29" s="48">
        <v>2856542</v>
      </c>
      <c r="AJ29" s="27" t="s">
        <v>225</v>
      </c>
      <c r="AK29" s="118" t="s">
        <v>227</v>
      </c>
      <c r="AL29" s="48">
        <f t="shared" ref="AL29:AL31" si="10">+AI29</f>
        <v>2856542</v>
      </c>
      <c r="AM29" s="48">
        <v>0</v>
      </c>
      <c r="AN29" s="104">
        <v>2856542</v>
      </c>
      <c r="AO29" s="104">
        <v>0</v>
      </c>
      <c r="AP29" s="64" t="s">
        <v>196</v>
      </c>
      <c r="AQ29" s="64" t="s">
        <v>271</v>
      </c>
      <c r="AR29" s="60"/>
      <c r="AS29" s="60"/>
      <c r="AT29" s="72"/>
      <c r="AU29" s="60"/>
      <c r="AV29" s="60"/>
      <c r="AW29" s="60"/>
      <c r="AX29" s="60"/>
      <c r="AY29" s="60"/>
      <c r="AZ29" s="60"/>
      <c r="BA29" s="60"/>
    </row>
    <row r="30" spans="1:53" s="55" customFormat="1" ht="51" customHeight="1" x14ac:dyDescent="0.25">
      <c r="A30" s="60"/>
      <c r="B30" s="10" t="s">
        <v>47</v>
      </c>
      <c r="C30" s="10" t="s">
        <v>48</v>
      </c>
      <c r="D30" s="10" t="s">
        <v>24</v>
      </c>
      <c r="E30" s="11">
        <v>1049213</v>
      </c>
      <c r="F30" s="11">
        <f t="shared" ref="F30" si="11">+E30*8%</f>
        <v>83937.040000000008</v>
      </c>
      <c r="G30" s="10" t="s">
        <v>85</v>
      </c>
      <c r="H30" s="10" t="s">
        <v>87</v>
      </c>
      <c r="I30" s="48">
        <v>27432</v>
      </c>
      <c r="J30" s="10" t="s">
        <v>86</v>
      </c>
      <c r="K30" s="183"/>
      <c r="L30" s="183"/>
      <c r="M30" s="183"/>
      <c r="N30" s="164"/>
      <c r="O30" s="164"/>
      <c r="P30" s="164"/>
      <c r="Q30" s="150"/>
      <c r="R30" s="166"/>
      <c r="S30" s="168"/>
      <c r="T30" s="164"/>
      <c r="U30" s="27" t="s">
        <v>42</v>
      </c>
      <c r="V30" s="36">
        <v>2020130010141</v>
      </c>
      <c r="W30" s="45" t="s">
        <v>143</v>
      </c>
      <c r="X30" s="45" t="s">
        <v>151</v>
      </c>
      <c r="Y30" s="183"/>
      <c r="Z30" s="183"/>
      <c r="AA30" s="150"/>
      <c r="AB30" s="11" t="s">
        <v>100</v>
      </c>
      <c r="AC30" s="11" t="s">
        <v>135</v>
      </c>
      <c r="AD30" s="190"/>
      <c r="AE30" s="171"/>
      <c r="AF30" s="11" t="s">
        <v>130</v>
      </c>
      <c r="AG30" s="11" t="s">
        <v>131</v>
      </c>
      <c r="AH30" s="27" t="s">
        <v>124</v>
      </c>
      <c r="AI30" s="48">
        <v>15617725</v>
      </c>
      <c r="AJ30" s="27" t="s">
        <v>225</v>
      </c>
      <c r="AK30" s="45" t="s">
        <v>228</v>
      </c>
      <c r="AL30" s="48">
        <f t="shared" si="10"/>
        <v>15617725</v>
      </c>
      <c r="AM30" s="48">
        <v>0</v>
      </c>
      <c r="AN30" s="104">
        <v>15617725</v>
      </c>
      <c r="AO30" s="104">
        <v>0</v>
      </c>
      <c r="AP30" s="64" t="s">
        <v>196</v>
      </c>
      <c r="AQ30" s="64" t="s">
        <v>271</v>
      </c>
      <c r="AR30" s="60"/>
      <c r="AS30" s="60"/>
      <c r="AT30" s="72"/>
      <c r="AU30" s="60"/>
      <c r="AV30" s="60"/>
      <c r="AW30" s="60"/>
      <c r="AX30" s="60"/>
      <c r="AY30" s="60"/>
      <c r="AZ30" s="60"/>
      <c r="BA30" s="60"/>
    </row>
    <row r="31" spans="1:53" s="55" customFormat="1" ht="51" customHeight="1" x14ac:dyDescent="0.25">
      <c r="A31" s="60"/>
      <c r="B31" s="10" t="s">
        <v>47</v>
      </c>
      <c r="C31" s="10" t="s">
        <v>48</v>
      </c>
      <c r="D31" s="10" t="s">
        <v>24</v>
      </c>
      <c r="E31" s="11">
        <v>1049212</v>
      </c>
      <c r="F31" s="11">
        <f t="shared" si="6"/>
        <v>83936.960000000006</v>
      </c>
      <c r="G31" s="10" t="s">
        <v>85</v>
      </c>
      <c r="H31" s="10" t="s">
        <v>87</v>
      </c>
      <c r="I31" s="48">
        <v>27432</v>
      </c>
      <c r="J31" s="10" t="s">
        <v>86</v>
      </c>
      <c r="K31" s="183"/>
      <c r="L31" s="183"/>
      <c r="M31" s="184"/>
      <c r="N31" s="164"/>
      <c r="O31" s="164"/>
      <c r="P31" s="164"/>
      <c r="Q31" s="150"/>
      <c r="R31" s="166"/>
      <c r="S31" s="168"/>
      <c r="T31" s="164"/>
      <c r="U31" s="27" t="s">
        <v>42</v>
      </c>
      <c r="V31" s="36">
        <v>2020130010141</v>
      </c>
      <c r="W31" s="45" t="s">
        <v>143</v>
      </c>
      <c r="X31" s="45" t="s">
        <v>151</v>
      </c>
      <c r="Y31" s="183"/>
      <c r="Z31" s="184"/>
      <c r="AA31" s="150"/>
      <c r="AB31" s="11" t="s">
        <v>100</v>
      </c>
      <c r="AC31" s="11" t="s">
        <v>135</v>
      </c>
      <c r="AD31" s="190"/>
      <c r="AE31" s="171"/>
      <c r="AF31" s="11" t="s">
        <v>130</v>
      </c>
      <c r="AG31" s="11" t="s">
        <v>131</v>
      </c>
      <c r="AH31" s="27" t="s">
        <v>224</v>
      </c>
      <c r="AI31" s="48">
        <v>62500000</v>
      </c>
      <c r="AJ31" s="27" t="s">
        <v>226</v>
      </c>
      <c r="AK31" s="45" t="s">
        <v>167</v>
      </c>
      <c r="AL31" s="48">
        <f t="shared" si="10"/>
        <v>62500000</v>
      </c>
      <c r="AM31" s="48">
        <v>0</v>
      </c>
      <c r="AN31" s="104">
        <v>62500000</v>
      </c>
      <c r="AO31" s="104">
        <v>35000000</v>
      </c>
      <c r="AP31" s="64" t="s">
        <v>196</v>
      </c>
      <c r="AQ31" s="64" t="s">
        <v>271</v>
      </c>
      <c r="AR31" s="60"/>
      <c r="AS31" s="60"/>
      <c r="AT31" s="72"/>
      <c r="AU31" s="60"/>
      <c r="AV31" s="60"/>
      <c r="AW31" s="60"/>
      <c r="AX31" s="60"/>
      <c r="AY31" s="60"/>
      <c r="AZ31" s="60"/>
      <c r="BA31" s="60"/>
    </row>
    <row r="32" spans="1:53" s="55" customFormat="1" ht="51" customHeight="1" x14ac:dyDescent="0.25">
      <c r="A32" s="60"/>
      <c r="B32" s="10" t="s">
        <v>47</v>
      </c>
      <c r="C32" s="10" t="s">
        <v>48</v>
      </c>
      <c r="D32" s="10" t="s">
        <v>24</v>
      </c>
      <c r="E32" s="11">
        <v>1049212</v>
      </c>
      <c r="F32" s="11">
        <f>+E32*8%</f>
        <v>83936.960000000006</v>
      </c>
      <c r="G32" s="10" t="s">
        <v>85</v>
      </c>
      <c r="H32" s="10" t="s">
        <v>87</v>
      </c>
      <c r="I32" s="48">
        <v>27432</v>
      </c>
      <c r="J32" s="10" t="s">
        <v>86</v>
      </c>
      <c r="K32" s="183"/>
      <c r="L32" s="183"/>
      <c r="M32" s="195">
        <v>0</v>
      </c>
      <c r="N32" s="164"/>
      <c r="O32" s="164"/>
      <c r="P32" s="164"/>
      <c r="Q32" s="151">
        <f>205+1393+512</f>
        <v>2110</v>
      </c>
      <c r="R32" s="166"/>
      <c r="S32" s="168"/>
      <c r="T32" s="164"/>
      <c r="U32" s="27" t="s">
        <v>144</v>
      </c>
      <c r="V32" s="36" t="s">
        <v>200</v>
      </c>
      <c r="W32" s="45" t="s">
        <v>156</v>
      </c>
      <c r="X32" s="45" t="s">
        <v>157</v>
      </c>
      <c r="Y32" s="183"/>
      <c r="Z32" s="195">
        <v>0</v>
      </c>
      <c r="AA32" s="151">
        <f>205+1393+512</f>
        <v>2110</v>
      </c>
      <c r="AB32" s="11" t="s">
        <v>116</v>
      </c>
      <c r="AC32" s="11" t="s">
        <v>231</v>
      </c>
      <c r="AD32" s="190"/>
      <c r="AE32" s="171"/>
      <c r="AF32" s="11" t="s">
        <v>130</v>
      </c>
      <c r="AG32" s="11" t="s">
        <v>131</v>
      </c>
      <c r="AH32" s="27" t="s">
        <v>124</v>
      </c>
      <c r="AI32" s="48">
        <f>+AL32</f>
        <v>27147520</v>
      </c>
      <c r="AJ32" s="27" t="s">
        <v>237</v>
      </c>
      <c r="AK32" s="45" t="s">
        <v>232</v>
      </c>
      <c r="AL32" s="48">
        <f>2559900+24587620</f>
        <v>27147520</v>
      </c>
      <c r="AM32" s="48">
        <v>2559900</v>
      </c>
      <c r="AN32" s="104">
        <v>24587619</v>
      </c>
      <c r="AO32" s="104">
        <v>0</v>
      </c>
      <c r="AP32" s="64" t="s">
        <v>269</v>
      </c>
      <c r="AQ32" s="64" t="s">
        <v>270</v>
      </c>
      <c r="AR32" s="60"/>
      <c r="AS32" s="60"/>
      <c r="AT32" s="72"/>
      <c r="AU32" s="60"/>
      <c r="AV32" s="60"/>
      <c r="AW32" s="60"/>
      <c r="AX32" s="60"/>
      <c r="AY32" s="60"/>
      <c r="AZ32" s="60"/>
      <c r="BA32" s="60"/>
    </row>
    <row r="33" spans="1:53" s="55" customFormat="1" ht="51" customHeight="1" x14ac:dyDescent="0.25">
      <c r="A33" s="60"/>
      <c r="B33" s="10" t="s">
        <v>47</v>
      </c>
      <c r="C33" s="10" t="s">
        <v>48</v>
      </c>
      <c r="D33" s="10" t="s">
        <v>24</v>
      </c>
      <c r="E33" s="11">
        <v>1049212</v>
      </c>
      <c r="F33" s="11">
        <f>+E33*8%</f>
        <v>83936.960000000006</v>
      </c>
      <c r="G33" s="10" t="s">
        <v>85</v>
      </c>
      <c r="H33" s="10" t="s">
        <v>87</v>
      </c>
      <c r="I33" s="48">
        <v>27432</v>
      </c>
      <c r="J33" s="10" t="s">
        <v>86</v>
      </c>
      <c r="K33" s="183"/>
      <c r="L33" s="183"/>
      <c r="M33" s="195"/>
      <c r="N33" s="164"/>
      <c r="O33" s="164"/>
      <c r="P33" s="164"/>
      <c r="Q33" s="152"/>
      <c r="R33" s="166"/>
      <c r="S33" s="168"/>
      <c r="T33" s="164"/>
      <c r="U33" s="27" t="s">
        <v>144</v>
      </c>
      <c r="V33" s="36" t="s">
        <v>200</v>
      </c>
      <c r="W33" s="45" t="s">
        <v>156</v>
      </c>
      <c r="X33" s="45" t="s">
        <v>157</v>
      </c>
      <c r="Y33" s="183"/>
      <c r="Z33" s="195"/>
      <c r="AA33" s="152"/>
      <c r="AB33" s="11" t="s">
        <v>116</v>
      </c>
      <c r="AC33" s="11" t="s">
        <v>231</v>
      </c>
      <c r="AD33" s="190"/>
      <c r="AE33" s="171"/>
      <c r="AF33" s="11" t="s">
        <v>130</v>
      </c>
      <c r="AG33" s="11" t="s">
        <v>131</v>
      </c>
      <c r="AH33" s="27" t="s">
        <v>136</v>
      </c>
      <c r="AI33" s="48">
        <f t="shared" ref="AI33:AI34" si="12">+AL33</f>
        <v>479009230</v>
      </c>
      <c r="AJ33" s="27" t="s">
        <v>237</v>
      </c>
      <c r="AK33" s="118" t="s">
        <v>169</v>
      </c>
      <c r="AL33" s="119">
        <v>479009230</v>
      </c>
      <c r="AM33" s="48">
        <v>479009230</v>
      </c>
      <c r="AN33" s="104">
        <v>0</v>
      </c>
      <c r="AO33" s="104">
        <v>0</v>
      </c>
      <c r="AP33" s="64" t="s">
        <v>198</v>
      </c>
      <c r="AQ33" s="64" t="s">
        <v>270</v>
      </c>
      <c r="AR33" s="60"/>
      <c r="AS33" s="60"/>
      <c r="AT33" s="72"/>
      <c r="AU33" s="60"/>
      <c r="AV33" s="60"/>
      <c r="AW33" s="60"/>
      <c r="AX33" s="60"/>
      <c r="AY33" s="60"/>
      <c r="AZ33" s="60"/>
      <c r="BA33" s="60"/>
    </row>
    <row r="34" spans="1:53" s="55" customFormat="1" ht="51" customHeight="1" x14ac:dyDescent="0.25">
      <c r="A34" s="60"/>
      <c r="B34" s="10" t="s">
        <v>47</v>
      </c>
      <c r="C34" s="10" t="s">
        <v>48</v>
      </c>
      <c r="D34" s="10" t="s">
        <v>24</v>
      </c>
      <c r="E34" s="11">
        <v>1049212</v>
      </c>
      <c r="F34" s="11">
        <f>+E34*8%</f>
        <v>83936.960000000006</v>
      </c>
      <c r="G34" s="10" t="s">
        <v>85</v>
      </c>
      <c r="H34" s="10" t="s">
        <v>87</v>
      </c>
      <c r="I34" s="48">
        <v>27432</v>
      </c>
      <c r="J34" s="10" t="s">
        <v>86</v>
      </c>
      <c r="K34" s="183"/>
      <c r="L34" s="183"/>
      <c r="M34" s="195"/>
      <c r="N34" s="164"/>
      <c r="O34" s="164"/>
      <c r="P34" s="164"/>
      <c r="Q34" s="153"/>
      <c r="R34" s="166"/>
      <c r="S34" s="168"/>
      <c r="T34" s="164"/>
      <c r="U34" s="27" t="s">
        <v>144</v>
      </c>
      <c r="V34" s="36" t="s">
        <v>200</v>
      </c>
      <c r="W34" s="45" t="s">
        <v>156</v>
      </c>
      <c r="X34" s="45" t="s">
        <v>157</v>
      </c>
      <c r="Y34" s="183"/>
      <c r="Z34" s="195"/>
      <c r="AA34" s="153"/>
      <c r="AB34" s="11" t="s">
        <v>116</v>
      </c>
      <c r="AC34" s="11" t="s">
        <v>231</v>
      </c>
      <c r="AD34" s="190"/>
      <c r="AE34" s="171"/>
      <c r="AF34" s="11" t="s">
        <v>130</v>
      </c>
      <c r="AG34" s="11" t="s">
        <v>131</v>
      </c>
      <c r="AH34" s="27" t="s">
        <v>230</v>
      </c>
      <c r="AI34" s="48">
        <f t="shared" si="12"/>
        <v>87500000</v>
      </c>
      <c r="AJ34" s="27" t="s">
        <v>237</v>
      </c>
      <c r="AK34" s="45" t="s">
        <v>233</v>
      </c>
      <c r="AL34" s="48">
        <v>87500000</v>
      </c>
      <c r="AM34" s="48">
        <v>0</v>
      </c>
      <c r="AN34" s="104">
        <v>87500000</v>
      </c>
      <c r="AO34" s="104">
        <v>58625545</v>
      </c>
      <c r="AP34" s="64" t="s">
        <v>198</v>
      </c>
      <c r="AQ34" s="64" t="s">
        <v>270</v>
      </c>
      <c r="AR34" s="60"/>
      <c r="AS34" s="60"/>
      <c r="AT34" s="72"/>
      <c r="AU34" s="60"/>
      <c r="AV34" s="60"/>
      <c r="AW34" s="60"/>
      <c r="AX34" s="60"/>
      <c r="AY34" s="60"/>
      <c r="AZ34" s="60"/>
      <c r="BA34" s="60"/>
    </row>
    <row r="35" spans="1:53" s="55" customFormat="1" ht="51" customHeight="1" x14ac:dyDescent="0.25">
      <c r="A35" s="60"/>
      <c r="B35" s="10" t="s">
        <v>47</v>
      </c>
      <c r="C35" s="10" t="s">
        <v>48</v>
      </c>
      <c r="D35" s="10" t="s">
        <v>24</v>
      </c>
      <c r="E35" s="11">
        <v>1049212</v>
      </c>
      <c r="F35" s="11">
        <f t="shared" ref="F35:F38" si="13">+E35*8%</f>
        <v>83936.960000000006</v>
      </c>
      <c r="G35" s="10" t="s">
        <v>85</v>
      </c>
      <c r="H35" s="197" t="s">
        <v>87</v>
      </c>
      <c r="I35" s="182">
        <v>27432</v>
      </c>
      <c r="J35" s="197" t="s">
        <v>86</v>
      </c>
      <c r="K35" s="183"/>
      <c r="L35" s="183"/>
      <c r="M35" s="195">
        <v>145</v>
      </c>
      <c r="N35" s="164"/>
      <c r="O35" s="164"/>
      <c r="P35" s="164"/>
      <c r="Q35" s="150">
        <v>145</v>
      </c>
      <c r="R35" s="166"/>
      <c r="S35" s="168"/>
      <c r="T35" s="164"/>
      <c r="U35" s="27" t="s">
        <v>139</v>
      </c>
      <c r="V35" s="36">
        <v>2020130010219</v>
      </c>
      <c r="W35" s="45" t="s">
        <v>140</v>
      </c>
      <c r="X35" s="45" t="s">
        <v>152</v>
      </c>
      <c r="Y35" s="183"/>
      <c r="Z35" s="195">
        <v>145</v>
      </c>
      <c r="AA35" s="150">
        <v>145</v>
      </c>
      <c r="AB35" s="11" t="s">
        <v>100</v>
      </c>
      <c r="AC35" s="11" t="s">
        <v>135</v>
      </c>
      <c r="AD35" s="190"/>
      <c r="AE35" s="171"/>
      <c r="AF35" s="11" t="s">
        <v>130</v>
      </c>
      <c r="AG35" s="11" t="s">
        <v>131</v>
      </c>
      <c r="AH35" s="27" t="s">
        <v>124</v>
      </c>
      <c r="AI35" s="48">
        <v>11148458</v>
      </c>
      <c r="AJ35" s="27" t="s">
        <v>229</v>
      </c>
      <c r="AK35" s="45" t="s">
        <v>168</v>
      </c>
      <c r="AL35" s="48">
        <v>11148458</v>
      </c>
      <c r="AM35" s="48">
        <v>0</v>
      </c>
      <c r="AN35" s="104">
        <v>11148458</v>
      </c>
      <c r="AO35" s="104">
        <v>0</v>
      </c>
      <c r="AP35" s="65" t="s">
        <v>194</v>
      </c>
      <c r="AQ35" s="65" t="s">
        <v>194</v>
      </c>
      <c r="AR35" s="60"/>
      <c r="AS35" s="60"/>
      <c r="AT35" s="72"/>
      <c r="AU35" s="60"/>
      <c r="AV35" s="60"/>
      <c r="AW35" s="60"/>
      <c r="AX35" s="60"/>
      <c r="AY35" s="60"/>
      <c r="AZ35" s="60"/>
      <c r="BA35" s="60"/>
    </row>
    <row r="36" spans="1:53" s="47" customFormat="1" ht="51" customHeight="1" x14ac:dyDescent="0.25">
      <c r="A36" s="60"/>
      <c r="B36" s="10" t="s">
        <v>47</v>
      </c>
      <c r="C36" s="10" t="s">
        <v>48</v>
      </c>
      <c r="D36" s="10" t="s">
        <v>24</v>
      </c>
      <c r="E36" s="11">
        <v>1049212</v>
      </c>
      <c r="F36" s="11">
        <f t="shared" si="13"/>
        <v>83936.960000000006</v>
      </c>
      <c r="G36" s="10" t="s">
        <v>85</v>
      </c>
      <c r="H36" s="198"/>
      <c r="I36" s="184"/>
      <c r="J36" s="198"/>
      <c r="K36" s="184"/>
      <c r="L36" s="184"/>
      <c r="M36" s="195"/>
      <c r="N36" s="163"/>
      <c r="O36" s="164"/>
      <c r="P36" s="163"/>
      <c r="Q36" s="150"/>
      <c r="R36" s="167"/>
      <c r="S36" s="168"/>
      <c r="T36" s="163"/>
      <c r="U36" s="27" t="s">
        <v>139</v>
      </c>
      <c r="V36" s="36">
        <v>2020130010219</v>
      </c>
      <c r="W36" s="45" t="s">
        <v>140</v>
      </c>
      <c r="X36" s="45" t="s">
        <v>152</v>
      </c>
      <c r="Y36" s="184"/>
      <c r="Z36" s="195"/>
      <c r="AA36" s="150"/>
      <c r="AB36" s="11" t="s">
        <v>100</v>
      </c>
      <c r="AC36" s="11" t="s">
        <v>135</v>
      </c>
      <c r="AD36" s="191"/>
      <c r="AE36" s="172"/>
      <c r="AF36" s="11" t="s">
        <v>130</v>
      </c>
      <c r="AG36" s="11" t="s">
        <v>131</v>
      </c>
      <c r="AH36" s="54" t="s">
        <v>30</v>
      </c>
      <c r="AI36" s="56">
        <v>47831728</v>
      </c>
      <c r="AJ36" s="54" t="s">
        <v>229</v>
      </c>
      <c r="AK36" s="10" t="s">
        <v>166</v>
      </c>
      <c r="AL36" s="56">
        <v>47831728</v>
      </c>
      <c r="AM36" s="37">
        <v>0</v>
      </c>
      <c r="AN36" s="106">
        <v>47831728</v>
      </c>
      <c r="AO36" s="105">
        <v>41393435</v>
      </c>
      <c r="AP36" s="65" t="s">
        <v>194</v>
      </c>
      <c r="AQ36" s="65" t="s">
        <v>194</v>
      </c>
      <c r="AR36" s="60"/>
      <c r="AS36" s="60"/>
      <c r="AT36" s="72"/>
      <c r="AU36" s="60"/>
      <c r="AV36" s="60"/>
      <c r="AW36" s="60"/>
      <c r="AX36" s="60"/>
      <c r="AY36" s="60"/>
      <c r="AZ36" s="60"/>
      <c r="BA36" s="60"/>
    </row>
    <row r="37" spans="1:53" s="47" customFormat="1" ht="51" customHeight="1" x14ac:dyDescent="0.25">
      <c r="A37" s="60"/>
      <c r="B37" s="10" t="s">
        <v>47</v>
      </c>
      <c r="C37" s="10" t="s">
        <v>48</v>
      </c>
      <c r="D37" s="10" t="s">
        <v>24</v>
      </c>
      <c r="E37" s="11">
        <v>1049213</v>
      </c>
      <c r="F37" s="11">
        <f t="shared" ref="F37" si="14">+E37*8%</f>
        <v>83937.040000000008</v>
      </c>
      <c r="G37" s="10" t="s">
        <v>85</v>
      </c>
      <c r="H37" s="10" t="s">
        <v>89</v>
      </c>
      <c r="I37" s="48">
        <v>16428</v>
      </c>
      <c r="J37" s="10" t="s">
        <v>88</v>
      </c>
      <c r="K37" s="48">
        <v>22999.200000000001</v>
      </c>
      <c r="L37" s="48">
        <v>16428</v>
      </c>
      <c r="M37" s="48">
        <v>4656</v>
      </c>
      <c r="N37" s="91">
        <f>+M37/L37</f>
        <v>0.28341855368882396</v>
      </c>
      <c r="O37" s="164"/>
      <c r="P37" s="91">
        <f t="shared" ref="P37:P43" si="15">M37/K37</f>
        <v>0.20244182406344569</v>
      </c>
      <c r="Q37" s="114">
        <v>4656</v>
      </c>
      <c r="R37" s="95">
        <f>Q37/L37</f>
        <v>0.28341855368882396</v>
      </c>
      <c r="S37" s="168"/>
      <c r="T37" s="91">
        <f t="shared" ref="T37:T43" si="16">Q37/K37</f>
        <v>0.20244182406344569</v>
      </c>
      <c r="U37" s="27" t="s">
        <v>139</v>
      </c>
      <c r="V37" s="36">
        <v>2020130010220</v>
      </c>
      <c r="W37" s="45" t="s">
        <v>140</v>
      </c>
      <c r="X37" s="45" t="s">
        <v>152</v>
      </c>
      <c r="Y37" s="88">
        <v>22999.200000000001</v>
      </c>
      <c r="Z37" s="48">
        <v>4656</v>
      </c>
      <c r="AA37" s="98">
        <v>4656</v>
      </c>
      <c r="AB37" s="11" t="s">
        <v>100</v>
      </c>
      <c r="AC37" s="11" t="s">
        <v>135</v>
      </c>
      <c r="AD37" s="80">
        <f t="shared" ref="AD37:AD45" si="17">+P37</f>
        <v>0.20244182406344569</v>
      </c>
      <c r="AE37" s="102">
        <f t="shared" ref="AE37:AE43" si="18">AA37/K37</f>
        <v>0.20244182406344569</v>
      </c>
      <c r="AF37" s="11" t="s">
        <v>130</v>
      </c>
      <c r="AG37" s="11" t="s">
        <v>131</v>
      </c>
      <c r="AH37" s="27" t="s">
        <v>136</v>
      </c>
      <c r="AI37" s="56">
        <v>3599603</v>
      </c>
      <c r="AJ37" s="54" t="s">
        <v>229</v>
      </c>
      <c r="AK37" s="117" t="s">
        <v>170</v>
      </c>
      <c r="AL37" s="56">
        <v>3599603</v>
      </c>
      <c r="AM37" s="37">
        <v>0</v>
      </c>
      <c r="AN37" s="106">
        <v>482608833</v>
      </c>
      <c r="AO37" s="105">
        <v>479009230</v>
      </c>
      <c r="AP37" s="65" t="s">
        <v>194</v>
      </c>
      <c r="AQ37" s="65" t="s">
        <v>194</v>
      </c>
      <c r="AR37" s="60"/>
      <c r="AS37" s="60"/>
      <c r="AT37" s="72"/>
      <c r="AU37" s="60"/>
      <c r="AV37" s="60"/>
      <c r="AW37" s="60"/>
      <c r="AX37" s="60"/>
      <c r="AY37" s="60"/>
      <c r="AZ37" s="60"/>
      <c r="BA37" s="60"/>
    </row>
    <row r="38" spans="1:53" s="57" customFormat="1" ht="51" customHeight="1" x14ac:dyDescent="0.25">
      <c r="A38" s="60"/>
      <c r="B38" s="10" t="s">
        <v>47</v>
      </c>
      <c r="C38" s="10" t="s">
        <v>48</v>
      </c>
      <c r="D38" s="10" t="s">
        <v>24</v>
      </c>
      <c r="E38" s="11">
        <v>1049212</v>
      </c>
      <c r="F38" s="11">
        <f t="shared" si="13"/>
        <v>83936.960000000006</v>
      </c>
      <c r="G38" s="10" t="s">
        <v>85</v>
      </c>
      <c r="H38" s="10" t="s">
        <v>91</v>
      </c>
      <c r="I38" s="37">
        <v>16</v>
      </c>
      <c r="J38" s="10" t="s">
        <v>90</v>
      </c>
      <c r="K38" s="37">
        <v>17</v>
      </c>
      <c r="L38" s="37">
        <v>2</v>
      </c>
      <c r="M38" s="37">
        <v>2</v>
      </c>
      <c r="N38" s="91">
        <f>+M38/L38</f>
        <v>1</v>
      </c>
      <c r="O38" s="163"/>
      <c r="P38" s="91">
        <f t="shared" si="15"/>
        <v>0.11764705882352941</v>
      </c>
      <c r="Q38" s="113">
        <v>2</v>
      </c>
      <c r="R38" s="95">
        <f>Q38/L38</f>
        <v>1</v>
      </c>
      <c r="S38" s="169"/>
      <c r="T38" s="91">
        <f t="shared" si="16"/>
        <v>0.11764705882352941</v>
      </c>
      <c r="U38" s="27" t="s">
        <v>139</v>
      </c>
      <c r="V38" s="36">
        <v>2020130010219</v>
      </c>
      <c r="W38" s="45" t="s">
        <v>140</v>
      </c>
      <c r="X38" s="45" t="s">
        <v>152</v>
      </c>
      <c r="Y38" s="37">
        <v>17</v>
      </c>
      <c r="Z38" s="37">
        <v>2</v>
      </c>
      <c r="AA38" s="99">
        <v>2</v>
      </c>
      <c r="AB38" s="11" t="s">
        <v>100</v>
      </c>
      <c r="AC38" s="11" t="s">
        <v>135</v>
      </c>
      <c r="AD38" s="80">
        <f t="shared" si="17"/>
        <v>0.11764705882352941</v>
      </c>
      <c r="AE38" s="102">
        <f t="shared" si="18"/>
        <v>0.11764705882352941</v>
      </c>
      <c r="AF38" s="11" t="s">
        <v>130</v>
      </c>
      <c r="AG38" s="11" t="s">
        <v>131</v>
      </c>
      <c r="AH38" s="27" t="s">
        <v>136</v>
      </c>
      <c r="AI38" s="62">
        <v>4729331</v>
      </c>
      <c r="AJ38" s="54" t="s">
        <v>229</v>
      </c>
      <c r="AK38" s="117" t="s">
        <v>172</v>
      </c>
      <c r="AL38" s="62">
        <v>4729331</v>
      </c>
      <c r="AM38" s="37">
        <v>0</v>
      </c>
      <c r="AN38" s="105">
        <v>4729331</v>
      </c>
      <c r="AO38" s="108">
        <v>0</v>
      </c>
      <c r="AP38" s="65" t="s">
        <v>195</v>
      </c>
      <c r="AQ38" s="65" t="s">
        <v>195</v>
      </c>
      <c r="AR38" s="60"/>
      <c r="AS38" s="60"/>
      <c r="AT38" s="72"/>
      <c r="AU38" s="60"/>
      <c r="AV38" s="60"/>
      <c r="AW38" s="60"/>
      <c r="AX38" s="60"/>
      <c r="AY38" s="60"/>
      <c r="AZ38" s="60"/>
      <c r="BA38" s="60"/>
    </row>
    <row r="39" spans="1:53" s="58" customFormat="1" ht="139.5" customHeight="1" x14ac:dyDescent="0.25">
      <c r="A39" s="60"/>
      <c r="B39" s="12" t="s">
        <v>47</v>
      </c>
      <c r="C39" s="12" t="s">
        <v>48</v>
      </c>
      <c r="D39" s="12" t="s">
        <v>43</v>
      </c>
      <c r="E39" s="13">
        <v>1049212</v>
      </c>
      <c r="F39" s="13">
        <f>+E39*20%</f>
        <v>209842.40000000002</v>
      </c>
      <c r="G39" s="12" t="s">
        <v>92</v>
      </c>
      <c r="H39" s="12" t="s">
        <v>46</v>
      </c>
      <c r="I39" s="38">
        <v>0</v>
      </c>
      <c r="J39" s="12" t="s">
        <v>93</v>
      </c>
      <c r="K39" s="39">
        <v>2400</v>
      </c>
      <c r="L39" s="39">
        <v>2400</v>
      </c>
      <c r="M39" s="39">
        <v>138</v>
      </c>
      <c r="N39" s="91">
        <f>+M39/L39</f>
        <v>5.7500000000000002E-2</v>
      </c>
      <c r="O39" s="162">
        <f>(N39+N40+N41+N42)/4</f>
        <v>0.15008012229281056</v>
      </c>
      <c r="P39" s="91">
        <f t="shared" si="15"/>
        <v>5.7500000000000002E-2</v>
      </c>
      <c r="Q39" s="100">
        <v>552</v>
      </c>
      <c r="R39" s="95">
        <f>Q39/L39</f>
        <v>0.23</v>
      </c>
      <c r="S39" s="160">
        <f>(R39+R40+R41+R42)/4</f>
        <v>0.4522395472788322</v>
      </c>
      <c r="T39" s="91">
        <f t="shared" si="16"/>
        <v>0.23</v>
      </c>
      <c r="U39" s="22" t="s">
        <v>44</v>
      </c>
      <c r="V39" s="40">
        <v>20200130010036</v>
      </c>
      <c r="W39" s="22" t="s">
        <v>45</v>
      </c>
      <c r="X39" s="22" t="s">
        <v>238</v>
      </c>
      <c r="Y39" s="39">
        <v>2400</v>
      </c>
      <c r="Z39" s="39">
        <v>138</v>
      </c>
      <c r="AA39" s="100">
        <f>Z39+179+164+71</f>
        <v>552</v>
      </c>
      <c r="AB39" s="29" t="s">
        <v>116</v>
      </c>
      <c r="AC39" s="29" t="s">
        <v>134</v>
      </c>
      <c r="AD39" s="81">
        <f t="shared" si="17"/>
        <v>5.7500000000000002E-2</v>
      </c>
      <c r="AE39" s="102">
        <f t="shared" si="18"/>
        <v>0.23</v>
      </c>
      <c r="AF39" s="13" t="s">
        <v>132</v>
      </c>
      <c r="AG39" s="13" t="s">
        <v>133</v>
      </c>
      <c r="AH39" s="21" t="s">
        <v>30</v>
      </c>
      <c r="AI39" s="39">
        <v>504239578</v>
      </c>
      <c r="AJ39" s="21" t="s">
        <v>239</v>
      </c>
      <c r="AK39" s="22" t="s">
        <v>117</v>
      </c>
      <c r="AL39" s="39">
        <f>+AI39</f>
        <v>504239578</v>
      </c>
      <c r="AM39" s="39">
        <v>457900000</v>
      </c>
      <c r="AN39" s="104">
        <v>515990362</v>
      </c>
      <c r="AO39" s="104">
        <v>461900000</v>
      </c>
      <c r="AP39" s="69" t="s">
        <v>192</v>
      </c>
      <c r="AQ39" s="69" t="s">
        <v>289</v>
      </c>
      <c r="AR39" s="60"/>
      <c r="AS39" s="60"/>
      <c r="AT39" s="73"/>
      <c r="AU39" s="60"/>
      <c r="AV39" s="60"/>
      <c r="AW39" s="60"/>
      <c r="AX39" s="60"/>
      <c r="AY39" s="60"/>
      <c r="AZ39" s="60"/>
      <c r="BA39" s="60"/>
    </row>
    <row r="40" spans="1:53" s="33" customFormat="1" ht="135.75" customHeight="1" x14ac:dyDescent="0.25">
      <c r="A40" s="60"/>
      <c r="B40" s="12" t="s">
        <v>47</v>
      </c>
      <c r="C40" s="12" t="s">
        <v>48</v>
      </c>
      <c r="D40" s="12" t="s">
        <v>43</v>
      </c>
      <c r="E40" s="13">
        <v>1049212</v>
      </c>
      <c r="F40" s="13">
        <f t="shared" ref="F40:F42" si="19">+E40*20%</f>
        <v>209842.40000000002</v>
      </c>
      <c r="G40" s="12" t="s">
        <v>92</v>
      </c>
      <c r="H40" s="12" t="s">
        <v>95</v>
      </c>
      <c r="I40" s="38">
        <v>0</v>
      </c>
      <c r="J40" s="12" t="s">
        <v>94</v>
      </c>
      <c r="K40" s="14">
        <v>209842.40000000002</v>
      </c>
      <c r="L40" s="14">
        <v>209842.40000000002</v>
      </c>
      <c r="M40" s="14">
        <v>2665</v>
      </c>
      <c r="N40" s="92">
        <f>+M40/L40</f>
        <v>1.2700007243531335E-2</v>
      </c>
      <c r="O40" s="164"/>
      <c r="P40" s="92">
        <f t="shared" si="15"/>
        <v>1.2700007243531335E-2</v>
      </c>
      <c r="Q40" s="100">
        <v>7720</v>
      </c>
      <c r="R40" s="95">
        <f>Q40/L40</f>
        <v>3.6789514416533546E-2</v>
      </c>
      <c r="S40" s="168"/>
      <c r="T40" s="92">
        <f t="shared" si="16"/>
        <v>3.6789514416533546E-2</v>
      </c>
      <c r="U40" s="22" t="s">
        <v>44</v>
      </c>
      <c r="V40" s="40">
        <v>20200130010036</v>
      </c>
      <c r="W40" s="22" t="s">
        <v>45</v>
      </c>
      <c r="X40" s="22" t="s">
        <v>238</v>
      </c>
      <c r="Y40" s="14">
        <v>209842.40000000002</v>
      </c>
      <c r="Z40" s="14">
        <v>2665</v>
      </c>
      <c r="AA40" s="100">
        <f>Z40+5055</f>
        <v>7720</v>
      </c>
      <c r="AB40" s="29" t="s">
        <v>116</v>
      </c>
      <c r="AC40" s="29" t="s">
        <v>134</v>
      </c>
      <c r="AD40" s="81">
        <f t="shared" si="17"/>
        <v>1.2700007243531335E-2</v>
      </c>
      <c r="AE40" s="102">
        <f t="shared" si="18"/>
        <v>3.6789514416533546E-2</v>
      </c>
      <c r="AF40" s="13" t="s">
        <v>132</v>
      </c>
      <c r="AG40" s="13" t="s">
        <v>133</v>
      </c>
      <c r="AH40" s="28" t="s">
        <v>105</v>
      </c>
      <c r="AI40" s="51">
        <v>100163609</v>
      </c>
      <c r="AJ40" s="21" t="s">
        <v>239</v>
      </c>
      <c r="AK40" s="42" t="s">
        <v>119</v>
      </c>
      <c r="AL40" s="39">
        <f t="shared" ref="AL40:AL42" si="20">+AI40</f>
        <v>100163609</v>
      </c>
      <c r="AM40" s="14">
        <v>0</v>
      </c>
      <c r="AN40" s="104">
        <v>100163608</v>
      </c>
      <c r="AO40" s="116">
        <v>0</v>
      </c>
      <c r="AP40" s="69" t="s">
        <v>193</v>
      </c>
      <c r="AQ40" s="69" t="s">
        <v>274</v>
      </c>
      <c r="AR40" s="60"/>
      <c r="AS40" s="60"/>
      <c r="AT40" s="72"/>
      <c r="AU40" s="60"/>
      <c r="AV40" s="60"/>
      <c r="AW40" s="60"/>
      <c r="AX40" s="60"/>
      <c r="AY40" s="60"/>
      <c r="AZ40" s="60"/>
      <c r="BA40" s="60"/>
    </row>
    <row r="41" spans="1:53" s="33" customFormat="1" ht="279" customHeight="1" x14ac:dyDescent="0.25">
      <c r="A41" s="60"/>
      <c r="B41" s="12" t="s">
        <v>47</v>
      </c>
      <c r="C41" s="12" t="s">
        <v>48</v>
      </c>
      <c r="D41" s="12" t="s">
        <v>43</v>
      </c>
      <c r="E41" s="13">
        <v>1049212</v>
      </c>
      <c r="F41" s="13">
        <f>+E41*20%</f>
        <v>209842.40000000002</v>
      </c>
      <c r="G41" s="12" t="s">
        <v>92</v>
      </c>
      <c r="H41" s="12" t="s">
        <v>97</v>
      </c>
      <c r="I41" s="38">
        <v>83</v>
      </c>
      <c r="J41" s="12" t="s">
        <v>96</v>
      </c>
      <c r="K41" s="38">
        <v>110</v>
      </c>
      <c r="L41" s="14">
        <v>83</v>
      </c>
      <c r="M41" s="14">
        <v>44</v>
      </c>
      <c r="N41" s="91">
        <f>+M41/L41</f>
        <v>0.53012048192771088</v>
      </c>
      <c r="O41" s="164"/>
      <c r="P41" s="91">
        <f t="shared" si="15"/>
        <v>0.4</v>
      </c>
      <c r="Q41" s="101">
        <v>45</v>
      </c>
      <c r="R41" s="95">
        <f>Q41/L41</f>
        <v>0.54216867469879515</v>
      </c>
      <c r="S41" s="168"/>
      <c r="T41" s="91">
        <f t="shared" si="16"/>
        <v>0.40909090909090912</v>
      </c>
      <c r="U41" s="22" t="s">
        <v>44</v>
      </c>
      <c r="V41" s="40">
        <v>20200130010036</v>
      </c>
      <c r="W41" s="22" t="s">
        <v>45</v>
      </c>
      <c r="X41" s="22" t="s">
        <v>238</v>
      </c>
      <c r="Y41" s="38">
        <v>110</v>
      </c>
      <c r="Z41" s="14">
        <v>44</v>
      </c>
      <c r="AA41" s="101">
        <v>45</v>
      </c>
      <c r="AB41" s="29" t="s">
        <v>116</v>
      </c>
      <c r="AC41" s="29" t="s">
        <v>134</v>
      </c>
      <c r="AD41" s="81">
        <f t="shared" si="17"/>
        <v>0.4</v>
      </c>
      <c r="AE41" s="102">
        <f t="shared" si="18"/>
        <v>0.40909090909090912</v>
      </c>
      <c r="AF41" s="13" t="s">
        <v>132</v>
      </c>
      <c r="AG41" s="13" t="s">
        <v>133</v>
      </c>
      <c r="AH41" s="21" t="s">
        <v>136</v>
      </c>
      <c r="AI41" s="14">
        <f>109017196+366806688</f>
        <v>475823884</v>
      </c>
      <c r="AJ41" s="21" t="s">
        <v>239</v>
      </c>
      <c r="AK41" s="22" t="s">
        <v>240</v>
      </c>
      <c r="AL41" s="39">
        <f t="shared" si="20"/>
        <v>475823884</v>
      </c>
      <c r="AM41" s="39">
        <f>109017196+174600000</f>
        <v>283617196</v>
      </c>
      <c r="AN41" s="104">
        <v>366806688</v>
      </c>
      <c r="AO41" s="104">
        <v>244226984</v>
      </c>
      <c r="AP41" s="63" t="s">
        <v>191</v>
      </c>
      <c r="AQ41" s="63" t="s">
        <v>288</v>
      </c>
      <c r="AR41" s="60"/>
      <c r="AS41" s="60"/>
      <c r="AT41" s="72"/>
      <c r="AU41" s="60"/>
      <c r="AV41" s="60"/>
      <c r="AW41" s="60"/>
      <c r="AX41" s="60"/>
      <c r="AY41" s="60"/>
      <c r="AZ41" s="60"/>
      <c r="BA41" s="60"/>
    </row>
    <row r="42" spans="1:53" s="33" customFormat="1" ht="51" customHeight="1" x14ac:dyDescent="0.25">
      <c r="A42" s="60"/>
      <c r="B42" s="12" t="s">
        <v>47</v>
      </c>
      <c r="C42" s="12" t="s">
        <v>48</v>
      </c>
      <c r="D42" s="12" t="s">
        <v>43</v>
      </c>
      <c r="E42" s="13">
        <v>1049212</v>
      </c>
      <c r="F42" s="13">
        <f t="shared" si="19"/>
        <v>209842.40000000002</v>
      </c>
      <c r="G42" s="12" t="s">
        <v>92</v>
      </c>
      <c r="H42" s="12" t="s">
        <v>99</v>
      </c>
      <c r="I42" s="38">
        <v>9</v>
      </c>
      <c r="J42" s="12" t="s">
        <v>98</v>
      </c>
      <c r="K42" s="38">
        <v>10</v>
      </c>
      <c r="L42" s="14">
        <v>1</v>
      </c>
      <c r="M42" s="50">
        <v>0</v>
      </c>
      <c r="N42" s="91">
        <f>M42/L42</f>
        <v>0</v>
      </c>
      <c r="O42" s="163"/>
      <c r="P42" s="91">
        <f t="shared" si="15"/>
        <v>0</v>
      </c>
      <c r="Q42" s="101">
        <v>2</v>
      </c>
      <c r="R42" s="95">
        <v>1</v>
      </c>
      <c r="S42" s="169"/>
      <c r="T42" s="91">
        <f t="shared" si="16"/>
        <v>0.2</v>
      </c>
      <c r="U42" s="22" t="s">
        <v>44</v>
      </c>
      <c r="V42" s="40">
        <v>20200130010036</v>
      </c>
      <c r="W42" s="22" t="s">
        <v>45</v>
      </c>
      <c r="X42" s="22" t="s">
        <v>238</v>
      </c>
      <c r="Y42" s="38">
        <v>10</v>
      </c>
      <c r="Z42" s="50">
        <v>0</v>
      </c>
      <c r="AA42" s="101">
        <v>2</v>
      </c>
      <c r="AB42" s="29" t="s">
        <v>116</v>
      </c>
      <c r="AC42" s="29" t="s">
        <v>134</v>
      </c>
      <c r="AD42" s="81">
        <f t="shared" si="17"/>
        <v>0</v>
      </c>
      <c r="AE42" s="102">
        <f t="shared" si="18"/>
        <v>0.2</v>
      </c>
      <c r="AF42" s="13" t="s">
        <v>132</v>
      </c>
      <c r="AG42" s="13" t="s">
        <v>133</v>
      </c>
      <c r="AH42" s="28" t="s">
        <v>104</v>
      </c>
      <c r="AI42" s="14">
        <f>640414726+2957158898</f>
        <v>3597573624</v>
      </c>
      <c r="AJ42" s="21" t="s">
        <v>239</v>
      </c>
      <c r="AK42" s="42" t="s">
        <v>118</v>
      </c>
      <c r="AL42" s="39">
        <f t="shared" si="20"/>
        <v>3597573624</v>
      </c>
      <c r="AM42" s="39">
        <f>640414726+2380399660</f>
        <v>3020814386</v>
      </c>
      <c r="AN42" s="104">
        <v>3067573624</v>
      </c>
      <c r="AO42" s="104">
        <v>2698573040.8499999</v>
      </c>
      <c r="AP42" s="63" t="s">
        <v>188</v>
      </c>
      <c r="AQ42" s="63" t="s">
        <v>273</v>
      </c>
      <c r="AR42" s="60"/>
      <c r="AS42" s="60"/>
      <c r="AT42" s="72"/>
      <c r="AU42" s="60"/>
      <c r="AV42" s="60"/>
      <c r="AW42" s="60"/>
      <c r="AX42" s="60"/>
      <c r="AY42" s="60"/>
      <c r="AZ42" s="60"/>
      <c r="BA42" s="60"/>
    </row>
    <row r="43" spans="1:53" s="47" customFormat="1" ht="133.5" customHeight="1" x14ac:dyDescent="0.25">
      <c r="B43" s="44" t="s">
        <v>47</v>
      </c>
      <c r="C43" s="44" t="s">
        <v>48</v>
      </c>
      <c r="D43" s="44" t="s">
        <v>50</v>
      </c>
      <c r="E43" s="6">
        <v>1049212</v>
      </c>
      <c r="F43" s="6">
        <f t="shared" ref="F43" si="21">+E43*13%</f>
        <v>136397.56</v>
      </c>
      <c r="G43" s="44" t="s">
        <v>69</v>
      </c>
      <c r="H43" s="44" t="s">
        <v>71</v>
      </c>
      <c r="I43" s="7">
        <v>0</v>
      </c>
      <c r="J43" s="44" t="s">
        <v>70</v>
      </c>
      <c r="K43" s="7">
        <v>4</v>
      </c>
      <c r="L43" s="7">
        <v>1</v>
      </c>
      <c r="M43" s="7">
        <v>2</v>
      </c>
      <c r="N43" s="91">
        <v>1</v>
      </c>
      <c r="O43" s="213">
        <f>(N43+N45+N47+N48+N52)/5</f>
        <v>0.57575132322598011</v>
      </c>
      <c r="P43" s="91">
        <f t="shared" si="15"/>
        <v>0.5</v>
      </c>
      <c r="Q43" s="101">
        <v>2</v>
      </c>
      <c r="R43" s="95">
        <v>1</v>
      </c>
      <c r="S43" s="159">
        <f>(R43+R45+R47+R48+R52)/5</f>
        <v>0.699524535749529</v>
      </c>
      <c r="T43" s="91">
        <f t="shared" si="16"/>
        <v>0.5</v>
      </c>
      <c r="U43" s="44" t="s">
        <v>115</v>
      </c>
      <c r="V43" s="19">
        <v>2020130010068</v>
      </c>
      <c r="W43" s="44" t="s">
        <v>38</v>
      </c>
      <c r="X43" s="44" t="s">
        <v>153</v>
      </c>
      <c r="Y43" s="7">
        <v>4</v>
      </c>
      <c r="Z43" s="7">
        <v>2</v>
      </c>
      <c r="AA43" s="101">
        <v>2</v>
      </c>
      <c r="AB43" s="20" t="s">
        <v>100</v>
      </c>
      <c r="AC43" s="20" t="s">
        <v>135</v>
      </c>
      <c r="AD43" s="78">
        <f t="shared" si="17"/>
        <v>0.5</v>
      </c>
      <c r="AE43" s="102">
        <f t="shared" si="18"/>
        <v>0.5</v>
      </c>
      <c r="AF43" s="20" t="s">
        <v>128</v>
      </c>
      <c r="AG43" s="20" t="s">
        <v>129</v>
      </c>
      <c r="AH43" s="23" t="s">
        <v>104</v>
      </c>
      <c r="AI43" s="49">
        <f>+AL43</f>
        <v>139056423</v>
      </c>
      <c r="AJ43" s="23" t="s">
        <v>243</v>
      </c>
      <c r="AK43" s="44" t="s">
        <v>241</v>
      </c>
      <c r="AL43" s="49">
        <f>6700000+132356423</f>
        <v>139056423</v>
      </c>
      <c r="AM43" s="49">
        <f>6700000+89950000</f>
        <v>96650000</v>
      </c>
      <c r="AN43" s="105">
        <v>139056423</v>
      </c>
      <c r="AO43" s="105">
        <v>111982423</v>
      </c>
      <c r="AP43" s="67" t="s">
        <v>183</v>
      </c>
      <c r="AQ43" s="67" t="s">
        <v>278</v>
      </c>
      <c r="AR43" s="60"/>
      <c r="AS43" s="60"/>
      <c r="AT43" s="72"/>
      <c r="AU43" s="60"/>
      <c r="AV43" s="60"/>
      <c r="AW43" s="60"/>
      <c r="AX43" s="60"/>
      <c r="AY43" s="60"/>
      <c r="AZ43" s="60"/>
      <c r="BA43" s="60"/>
    </row>
    <row r="44" spans="1:53" s="47" customFormat="1" ht="96" customHeight="1" x14ac:dyDescent="0.25">
      <c r="B44" s="44" t="s">
        <v>47</v>
      </c>
      <c r="C44" s="44" t="s">
        <v>48</v>
      </c>
      <c r="D44" s="44" t="s">
        <v>50</v>
      </c>
      <c r="E44" s="6">
        <v>1049212</v>
      </c>
      <c r="F44" s="6">
        <f>+E44*13%</f>
        <v>136397.56</v>
      </c>
      <c r="G44" s="44" t="s">
        <v>69</v>
      </c>
      <c r="H44" s="44" t="s">
        <v>37</v>
      </c>
      <c r="I44" s="7">
        <v>0</v>
      </c>
      <c r="J44" s="44" t="s">
        <v>76</v>
      </c>
      <c r="K44" s="7">
        <v>1</v>
      </c>
      <c r="L44" s="7" t="s">
        <v>250</v>
      </c>
      <c r="M44" s="7" t="s">
        <v>251</v>
      </c>
      <c r="N44" s="91" t="s">
        <v>251</v>
      </c>
      <c r="O44" s="213"/>
      <c r="P44" s="91" t="str">
        <f>+N44</f>
        <v>NP</v>
      </c>
      <c r="Q44" s="113" t="s">
        <v>251</v>
      </c>
      <c r="R44" s="95" t="s">
        <v>251</v>
      </c>
      <c r="S44" s="159"/>
      <c r="T44" s="91" t="str">
        <f>+R44</f>
        <v>NP</v>
      </c>
      <c r="U44" s="44" t="s">
        <v>115</v>
      </c>
      <c r="V44" s="19">
        <v>2020130010068</v>
      </c>
      <c r="W44" s="44" t="s">
        <v>38</v>
      </c>
      <c r="X44" s="44" t="s">
        <v>153</v>
      </c>
      <c r="Y44" s="7">
        <v>1</v>
      </c>
      <c r="Z44" s="7">
        <v>0</v>
      </c>
      <c r="AA44" s="99" t="s">
        <v>251</v>
      </c>
      <c r="AB44" s="20" t="s">
        <v>100</v>
      </c>
      <c r="AC44" s="20" t="s">
        <v>135</v>
      </c>
      <c r="AD44" s="78" t="str">
        <f t="shared" si="17"/>
        <v>NP</v>
      </c>
      <c r="AE44" s="102" t="s">
        <v>251</v>
      </c>
      <c r="AF44" s="20" t="s">
        <v>128</v>
      </c>
      <c r="AG44" s="20" t="s">
        <v>129</v>
      </c>
      <c r="AH44" s="23" t="s">
        <v>104</v>
      </c>
      <c r="AI44" s="49">
        <f t="shared" ref="AI44:AI45" si="22">+AL44</f>
        <v>28272582</v>
      </c>
      <c r="AJ44" s="23" t="s">
        <v>243</v>
      </c>
      <c r="AK44" s="44" t="s">
        <v>242</v>
      </c>
      <c r="AL44" s="49">
        <v>28272582</v>
      </c>
      <c r="AM44" s="49">
        <v>0</v>
      </c>
      <c r="AN44" s="105">
        <v>21572582</v>
      </c>
      <c r="AO44" s="105">
        <v>21572582</v>
      </c>
      <c r="AP44" s="67" t="s">
        <v>183</v>
      </c>
      <c r="AQ44" s="67" t="s">
        <v>278</v>
      </c>
      <c r="AR44" s="60"/>
      <c r="AS44" s="60"/>
      <c r="AT44" s="72"/>
      <c r="AU44" s="60"/>
      <c r="AV44" s="60"/>
      <c r="AW44" s="60"/>
      <c r="AX44" s="60"/>
      <c r="AY44" s="60"/>
      <c r="AZ44" s="60"/>
      <c r="BA44" s="60"/>
    </row>
    <row r="45" spans="1:53" s="47" customFormat="1" ht="51" customHeight="1" x14ac:dyDescent="0.25">
      <c r="B45" s="44" t="s">
        <v>47</v>
      </c>
      <c r="C45" s="44" t="s">
        <v>48</v>
      </c>
      <c r="D45" s="44" t="s">
        <v>50</v>
      </c>
      <c r="E45" s="6">
        <v>1049212</v>
      </c>
      <c r="F45" s="6">
        <f>+E45*13%</f>
        <v>136397.56</v>
      </c>
      <c r="G45" s="44" t="s">
        <v>69</v>
      </c>
      <c r="H45" s="44" t="s">
        <v>78</v>
      </c>
      <c r="I45" s="173">
        <v>4</v>
      </c>
      <c r="J45" s="203" t="s">
        <v>77</v>
      </c>
      <c r="K45" s="173">
        <v>10</v>
      </c>
      <c r="L45" s="173">
        <v>2</v>
      </c>
      <c r="M45" s="212">
        <v>1</v>
      </c>
      <c r="N45" s="213">
        <f>M45/L45</f>
        <v>0.5</v>
      </c>
      <c r="O45" s="213"/>
      <c r="P45" s="162">
        <f>M45/K45</f>
        <v>0.1</v>
      </c>
      <c r="Q45" s="149">
        <v>2</v>
      </c>
      <c r="R45" s="161">
        <f>Q45/L45</f>
        <v>1</v>
      </c>
      <c r="S45" s="159"/>
      <c r="T45" s="162">
        <f>Q45/K45</f>
        <v>0.2</v>
      </c>
      <c r="U45" s="44" t="s">
        <v>115</v>
      </c>
      <c r="V45" s="19">
        <v>2020130010068</v>
      </c>
      <c r="W45" s="44" t="s">
        <v>38</v>
      </c>
      <c r="X45" s="44" t="s">
        <v>153</v>
      </c>
      <c r="Y45" s="173">
        <v>10</v>
      </c>
      <c r="Z45" s="7">
        <v>1</v>
      </c>
      <c r="AA45" s="149">
        <v>2</v>
      </c>
      <c r="AB45" s="20" t="s">
        <v>100</v>
      </c>
      <c r="AC45" s="20" t="s">
        <v>135</v>
      </c>
      <c r="AD45" s="192">
        <f t="shared" si="17"/>
        <v>0.1</v>
      </c>
      <c r="AE45" s="170">
        <f>AA45/K45</f>
        <v>0.2</v>
      </c>
      <c r="AF45" s="20" t="s">
        <v>128</v>
      </c>
      <c r="AG45" s="20" t="s">
        <v>129</v>
      </c>
      <c r="AH45" s="23" t="s">
        <v>30</v>
      </c>
      <c r="AI45" s="49">
        <f t="shared" si="22"/>
        <v>147405347</v>
      </c>
      <c r="AJ45" s="23" t="s">
        <v>244</v>
      </c>
      <c r="AK45" s="44" t="s">
        <v>120</v>
      </c>
      <c r="AL45" s="49">
        <f>17300000+130105347</f>
        <v>147405347</v>
      </c>
      <c r="AM45" s="49">
        <f>17300000+80495520</f>
        <v>97795520</v>
      </c>
      <c r="AN45" s="105">
        <v>147405347</v>
      </c>
      <c r="AO45" s="105">
        <v>115946515</v>
      </c>
      <c r="AP45" s="67" t="s">
        <v>279</v>
      </c>
      <c r="AQ45" s="67" t="s">
        <v>285</v>
      </c>
      <c r="AR45" s="60"/>
      <c r="AS45" s="60"/>
      <c r="AT45" s="72"/>
      <c r="AU45" s="60"/>
      <c r="AV45" s="60"/>
      <c r="AW45" s="60"/>
      <c r="AX45" s="60"/>
      <c r="AY45" s="60"/>
      <c r="AZ45" s="60"/>
      <c r="BA45" s="60"/>
    </row>
    <row r="46" spans="1:53" s="47" customFormat="1" ht="51" customHeight="1" x14ac:dyDescent="0.25">
      <c r="B46" s="44" t="s">
        <v>47</v>
      </c>
      <c r="C46" s="44" t="s">
        <v>48</v>
      </c>
      <c r="D46" s="44" t="s">
        <v>50</v>
      </c>
      <c r="E46" s="6">
        <v>1049212</v>
      </c>
      <c r="F46" s="6">
        <f>+E46*13%</f>
        <v>136397.56</v>
      </c>
      <c r="G46" s="44" t="s">
        <v>69</v>
      </c>
      <c r="H46" s="44" t="s">
        <v>78</v>
      </c>
      <c r="I46" s="174"/>
      <c r="J46" s="204"/>
      <c r="K46" s="174"/>
      <c r="L46" s="174"/>
      <c r="M46" s="212"/>
      <c r="N46" s="213"/>
      <c r="O46" s="213"/>
      <c r="P46" s="163"/>
      <c r="Q46" s="149"/>
      <c r="R46" s="161"/>
      <c r="S46" s="159"/>
      <c r="T46" s="163"/>
      <c r="U46" s="44" t="s">
        <v>121</v>
      </c>
      <c r="V46" s="18" t="s">
        <v>109</v>
      </c>
      <c r="W46" s="44" t="s">
        <v>38</v>
      </c>
      <c r="X46" s="41" t="s">
        <v>154</v>
      </c>
      <c r="Y46" s="174"/>
      <c r="Z46" s="18">
        <v>0</v>
      </c>
      <c r="AA46" s="149"/>
      <c r="AB46" s="6" t="s">
        <v>100</v>
      </c>
      <c r="AC46" s="20" t="s">
        <v>135</v>
      </c>
      <c r="AD46" s="193"/>
      <c r="AE46" s="172"/>
      <c r="AF46" s="20" t="s">
        <v>128</v>
      </c>
      <c r="AG46" s="20" t="s">
        <v>129</v>
      </c>
      <c r="AH46" s="25" t="s">
        <v>30</v>
      </c>
      <c r="AI46" s="18">
        <v>119157665</v>
      </c>
      <c r="AJ46" s="25" t="s">
        <v>245</v>
      </c>
      <c r="AK46" s="41" t="s">
        <v>122</v>
      </c>
      <c r="AL46" s="18">
        <v>119157665</v>
      </c>
      <c r="AM46" s="18">
        <v>0</v>
      </c>
      <c r="AN46" s="104">
        <v>101857665</v>
      </c>
      <c r="AO46" s="104">
        <v>0</v>
      </c>
      <c r="AP46" s="70" t="s">
        <v>182</v>
      </c>
      <c r="AQ46" s="70" t="s">
        <v>276</v>
      </c>
      <c r="AR46" s="60"/>
      <c r="AS46" s="60"/>
      <c r="AT46" s="72"/>
      <c r="AU46" s="60"/>
      <c r="AV46" s="60"/>
      <c r="AW46" s="60"/>
      <c r="AX46" s="60"/>
      <c r="AY46" s="60"/>
      <c r="AZ46" s="60"/>
      <c r="BA46" s="60"/>
    </row>
    <row r="47" spans="1:53" s="47" customFormat="1" ht="51" customHeight="1" x14ac:dyDescent="0.25">
      <c r="B47" s="44" t="s">
        <v>47</v>
      </c>
      <c r="C47" s="44" t="s">
        <v>48</v>
      </c>
      <c r="D47" s="44" t="s">
        <v>50</v>
      </c>
      <c r="E47" s="6">
        <v>1049212</v>
      </c>
      <c r="F47" s="6">
        <f t="shared" ref="F47:F51" si="23">+E47*13%</f>
        <v>136397.56</v>
      </c>
      <c r="G47" s="44" t="s">
        <v>69</v>
      </c>
      <c r="H47" s="44" t="s">
        <v>73</v>
      </c>
      <c r="I47" s="18">
        <v>11147</v>
      </c>
      <c r="J47" s="44" t="s">
        <v>72</v>
      </c>
      <c r="K47" s="18">
        <v>16720</v>
      </c>
      <c r="L47" s="18">
        <v>11147</v>
      </c>
      <c r="M47" s="18">
        <v>4222</v>
      </c>
      <c r="N47" s="91">
        <f>+M47/L47</f>
        <v>0.37875661612990041</v>
      </c>
      <c r="O47" s="213"/>
      <c r="P47" s="91">
        <f>M47/K47</f>
        <v>0.25251196172248802</v>
      </c>
      <c r="Q47" s="100">
        <f>4949+220+120+58+200</f>
        <v>5547</v>
      </c>
      <c r="R47" s="95">
        <f>Q47/L47</f>
        <v>0.4976226787476451</v>
      </c>
      <c r="S47" s="159"/>
      <c r="T47" s="91">
        <f>Q47/K47</f>
        <v>0.33175837320574164</v>
      </c>
      <c r="U47" s="44" t="s">
        <v>121</v>
      </c>
      <c r="V47" s="18" t="s">
        <v>109</v>
      </c>
      <c r="W47" s="44" t="s">
        <v>38</v>
      </c>
      <c r="X47" s="41" t="s">
        <v>154</v>
      </c>
      <c r="Y47" s="18">
        <v>16720</v>
      </c>
      <c r="Z47" s="18">
        <v>4222</v>
      </c>
      <c r="AA47" s="100">
        <f>4949+220+120+58+200</f>
        <v>5547</v>
      </c>
      <c r="AB47" s="6" t="s">
        <v>100</v>
      </c>
      <c r="AC47" s="20" t="s">
        <v>135</v>
      </c>
      <c r="AD47" s="78">
        <f>+P47</f>
        <v>0.25251196172248802</v>
      </c>
      <c r="AE47" s="102">
        <f>AA47/K47</f>
        <v>0.33175837320574164</v>
      </c>
      <c r="AF47" s="20" t="s">
        <v>128</v>
      </c>
      <c r="AG47" s="20" t="s">
        <v>129</v>
      </c>
      <c r="AH47" s="25" t="s">
        <v>105</v>
      </c>
      <c r="AI47" s="18">
        <v>66107983</v>
      </c>
      <c r="AJ47" s="25" t="s">
        <v>245</v>
      </c>
      <c r="AK47" s="41" t="s">
        <v>162</v>
      </c>
      <c r="AL47" s="18">
        <v>66107983</v>
      </c>
      <c r="AM47" s="18">
        <v>0</v>
      </c>
      <c r="AN47" s="104">
        <v>66107983</v>
      </c>
      <c r="AO47" s="104">
        <v>0</v>
      </c>
      <c r="AP47" s="70" t="s">
        <v>182</v>
      </c>
      <c r="AQ47" s="70" t="s">
        <v>276</v>
      </c>
      <c r="AR47" s="60"/>
      <c r="AS47" s="60"/>
      <c r="AT47" s="72"/>
      <c r="AU47" s="60"/>
      <c r="AV47" s="60"/>
      <c r="AW47" s="60"/>
      <c r="AX47" s="60"/>
      <c r="AY47" s="60"/>
      <c r="AZ47" s="60"/>
      <c r="BA47" s="60"/>
    </row>
    <row r="48" spans="1:53" s="47" customFormat="1" ht="102" customHeight="1" x14ac:dyDescent="0.25">
      <c r="B48" s="44" t="s">
        <v>47</v>
      </c>
      <c r="C48" s="44" t="s">
        <v>48</v>
      </c>
      <c r="D48" s="44" t="s">
        <v>50</v>
      </c>
      <c r="E48" s="6">
        <v>1049212</v>
      </c>
      <c r="F48" s="6">
        <f t="shared" si="23"/>
        <v>136397.56</v>
      </c>
      <c r="G48" s="44" t="s">
        <v>69</v>
      </c>
      <c r="H48" s="44" t="s">
        <v>75</v>
      </c>
      <c r="I48" s="7">
        <v>0</v>
      </c>
      <c r="J48" s="44" t="s">
        <v>74</v>
      </c>
      <c r="K48" s="173">
        <v>10</v>
      </c>
      <c r="L48" s="173">
        <v>1</v>
      </c>
      <c r="M48" s="212">
        <v>0</v>
      </c>
      <c r="N48" s="213">
        <f>M48/L48</f>
        <v>0</v>
      </c>
      <c r="O48" s="213"/>
      <c r="P48" s="162">
        <f>M48/K48</f>
        <v>0</v>
      </c>
      <c r="Q48" s="149">
        <v>0</v>
      </c>
      <c r="R48" s="161">
        <f>Q48/L48</f>
        <v>0</v>
      </c>
      <c r="S48" s="159"/>
      <c r="T48" s="162">
        <f>Q48/K48</f>
        <v>0</v>
      </c>
      <c r="U48" s="44" t="s">
        <v>123</v>
      </c>
      <c r="V48" s="7" t="s">
        <v>109</v>
      </c>
      <c r="W48" s="44" t="s">
        <v>38</v>
      </c>
      <c r="X48" s="44" t="s">
        <v>155</v>
      </c>
      <c r="Y48" s="173">
        <v>10</v>
      </c>
      <c r="Z48" s="173">
        <v>0</v>
      </c>
      <c r="AA48" s="149">
        <v>0</v>
      </c>
      <c r="AB48" s="20" t="s">
        <v>100</v>
      </c>
      <c r="AC48" s="20" t="s">
        <v>135</v>
      </c>
      <c r="AD48" s="192">
        <f>+P48</f>
        <v>0</v>
      </c>
      <c r="AE48" s="170">
        <f>AA48/K48</f>
        <v>0</v>
      </c>
      <c r="AF48" s="20" t="s">
        <v>128</v>
      </c>
      <c r="AG48" s="20" t="s">
        <v>129</v>
      </c>
      <c r="AH48" s="23" t="s">
        <v>125</v>
      </c>
      <c r="AI48" s="49">
        <v>9085002</v>
      </c>
      <c r="AJ48" s="23" t="s">
        <v>246</v>
      </c>
      <c r="AK48" s="44" t="s">
        <v>247</v>
      </c>
      <c r="AL48" s="49">
        <v>9085002</v>
      </c>
      <c r="AM48" s="7">
        <v>0</v>
      </c>
      <c r="AN48" s="105">
        <v>9085002</v>
      </c>
      <c r="AO48" s="108">
        <v>0</v>
      </c>
      <c r="AP48" s="70" t="s">
        <v>185</v>
      </c>
      <c r="AQ48" s="70" t="s">
        <v>277</v>
      </c>
      <c r="AR48" s="60"/>
      <c r="AS48" s="60"/>
      <c r="AT48" s="72"/>
      <c r="AU48" s="60"/>
      <c r="AV48" s="60"/>
      <c r="AW48" s="60"/>
      <c r="AX48" s="60"/>
      <c r="AY48" s="60"/>
      <c r="AZ48" s="60"/>
      <c r="BA48" s="60"/>
    </row>
    <row r="49" spans="2:53" s="47" customFormat="1" ht="51" customHeight="1" x14ac:dyDescent="0.25">
      <c r="B49" s="44" t="s">
        <v>47</v>
      </c>
      <c r="C49" s="44" t="s">
        <v>48</v>
      </c>
      <c r="D49" s="44" t="s">
        <v>50</v>
      </c>
      <c r="E49" s="6">
        <v>1049212</v>
      </c>
      <c r="F49" s="6">
        <f t="shared" si="23"/>
        <v>136397.56</v>
      </c>
      <c r="G49" s="44" t="s">
        <v>69</v>
      </c>
      <c r="H49" s="44" t="s">
        <v>75</v>
      </c>
      <c r="I49" s="7">
        <v>0</v>
      </c>
      <c r="J49" s="44" t="s">
        <v>74</v>
      </c>
      <c r="K49" s="185"/>
      <c r="L49" s="185"/>
      <c r="M49" s="212"/>
      <c r="N49" s="213"/>
      <c r="O49" s="213"/>
      <c r="P49" s="164"/>
      <c r="Q49" s="149"/>
      <c r="R49" s="161"/>
      <c r="S49" s="159"/>
      <c r="T49" s="164"/>
      <c r="U49" s="44" t="s">
        <v>123</v>
      </c>
      <c r="V49" s="7" t="s">
        <v>109</v>
      </c>
      <c r="W49" s="44" t="s">
        <v>38</v>
      </c>
      <c r="X49" s="44" t="s">
        <v>155</v>
      </c>
      <c r="Y49" s="185"/>
      <c r="Z49" s="185"/>
      <c r="AA49" s="149"/>
      <c r="AB49" s="20" t="s">
        <v>100</v>
      </c>
      <c r="AC49" s="20" t="s">
        <v>135</v>
      </c>
      <c r="AD49" s="194"/>
      <c r="AE49" s="171"/>
      <c r="AF49" s="20" t="s">
        <v>128</v>
      </c>
      <c r="AG49" s="20" t="s">
        <v>129</v>
      </c>
      <c r="AH49" s="23" t="s">
        <v>124</v>
      </c>
      <c r="AI49" s="49">
        <v>56114261</v>
      </c>
      <c r="AJ49" s="23" t="s">
        <v>246</v>
      </c>
      <c r="AK49" s="44" t="s">
        <v>163</v>
      </c>
      <c r="AL49" s="49">
        <v>56114261</v>
      </c>
      <c r="AM49" s="7">
        <v>0</v>
      </c>
      <c r="AN49" s="105">
        <v>56114262</v>
      </c>
      <c r="AO49" s="108">
        <v>0</v>
      </c>
      <c r="AP49" s="70" t="s">
        <v>184</v>
      </c>
      <c r="AQ49" s="70" t="s">
        <v>277</v>
      </c>
      <c r="AR49" s="60"/>
      <c r="AS49" s="60"/>
      <c r="AT49" s="72"/>
      <c r="AU49" s="60"/>
      <c r="AV49" s="60"/>
      <c r="AW49" s="60"/>
      <c r="AX49" s="60"/>
      <c r="AY49" s="60"/>
      <c r="AZ49" s="60"/>
      <c r="BA49" s="60"/>
    </row>
    <row r="50" spans="2:53" s="47" customFormat="1" ht="51" customHeight="1" x14ac:dyDescent="0.25">
      <c r="B50" s="44" t="s">
        <v>47</v>
      </c>
      <c r="C50" s="44" t="s">
        <v>48</v>
      </c>
      <c r="D50" s="44" t="s">
        <v>50</v>
      </c>
      <c r="E50" s="6">
        <v>1049212</v>
      </c>
      <c r="F50" s="6">
        <f t="shared" si="23"/>
        <v>136397.56</v>
      </c>
      <c r="G50" s="44" t="s">
        <v>69</v>
      </c>
      <c r="H50" s="44" t="s">
        <v>75</v>
      </c>
      <c r="I50" s="7">
        <v>0</v>
      </c>
      <c r="J50" s="44" t="s">
        <v>74</v>
      </c>
      <c r="K50" s="185"/>
      <c r="L50" s="185"/>
      <c r="M50" s="212"/>
      <c r="N50" s="213"/>
      <c r="O50" s="213"/>
      <c r="P50" s="164"/>
      <c r="Q50" s="149"/>
      <c r="R50" s="161"/>
      <c r="S50" s="159"/>
      <c r="T50" s="164"/>
      <c r="U50" s="44" t="s">
        <v>123</v>
      </c>
      <c r="V50" s="7" t="s">
        <v>109</v>
      </c>
      <c r="W50" s="44" t="s">
        <v>38</v>
      </c>
      <c r="X50" s="44" t="s">
        <v>155</v>
      </c>
      <c r="Y50" s="185"/>
      <c r="Z50" s="185"/>
      <c r="AA50" s="149"/>
      <c r="AB50" s="20" t="s">
        <v>100</v>
      </c>
      <c r="AC50" s="20" t="s">
        <v>135</v>
      </c>
      <c r="AD50" s="194"/>
      <c r="AE50" s="171"/>
      <c r="AF50" s="20" t="s">
        <v>128</v>
      </c>
      <c r="AG50" s="20" t="s">
        <v>129</v>
      </c>
      <c r="AH50" s="23" t="s">
        <v>126</v>
      </c>
      <c r="AI50" s="49">
        <v>1246178</v>
      </c>
      <c r="AJ50" s="23" t="s">
        <v>246</v>
      </c>
      <c r="AK50" s="44" t="s">
        <v>164</v>
      </c>
      <c r="AL50" s="49">
        <v>1246178</v>
      </c>
      <c r="AM50" s="7">
        <v>0</v>
      </c>
      <c r="AN50" s="105">
        <v>1246178</v>
      </c>
      <c r="AO50" s="108">
        <v>0</v>
      </c>
      <c r="AP50" s="70" t="s">
        <v>186</v>
      </c>
      <c r="AQ50" s="70" t="s">
        <v>277</v>
      </c>
      <c r="AR50" s="60"/>
      <c r="AS50" s="60"/>
      <c r="AT50" s="72"/>
      <c r="AU50" s="60"/>
      <c r="AV50" s="60"/>
      <c r="AW50" s="60"/>
      <c r="AX50" s="60"/>
      <c r="AY50" s="60"/>
      <c r="AZ50" s="60"/>
      <c r="BA50" s="60"/>
    </row>
    <row r="51" spans="2:53" s="47" customFormat="1" ht="51" customHeight="1" x14ac:dyDescent="0.25">
      <c r="B51" s="44" t="s">
        <v>47</v>
      </c>
      <c r="C51" s="44" t="s">
        <v>48</v>
      </c>
      <c r="D51" s="44" t="s">
        <v>50</v>
      </c>
      <c r="E51" s="6">
        <v>1049212</v>
      </c>
      <c r="F51" s="6">
        <f t="shared" si="23"/>
        <v>136397.56</v>
      </c>
      <c r="G51" s="44" t="s">
        <v>69</v>
      </c>
      <c r="H51" s="44" t="s">
        <v>75</v>
      </c>
      <c r="I51" s="7">
        <v>0</v>
      </c>
      <c r="J51" s="44" t="s">
        <v>74</v>
      </c>
      <c r="K51" s="174"/>
      <c r="L51" s="174"/>
      <c r="M51" s="212"/>
      <c r="N51" s="213"/>
      <c r="O51" s="213"/>
      <c r="P51" s="163"/>
      <c r="Q51" s="149"/>
      <c r="R51" s="161"/>
      <c r="S51" s="159"/>
      <c r="T51" s="163"/>
      <c r="U51" s="44" t="s">
        <v>123</v>
      </c>
      <c r="V51" s="7" t="s">
        <v>109</v>
      </c>
      <c r="W51" s="44" t="s">
        <v>38</v>
      </c>
      <c r="X51" s="44" t="s">
        <v>155</v>
      </c>
      <c r="Y51" s="174"/>
      <c r="Z51" s="174"/>
      <c r="AA51" s="149"/>
      <c r="AB51" s="20" t="s">
        <v>100</v>
      </c>
      <c r="AC51" s="20" t="s">
        <v>135</v>
      </c>
      <c r="AD51" s="193"/>
      <c r="AE51" s="172"/>
      <c r="AF51" s="20" t="s">
        <v>128</v>
      </c>
      <c r="AG51" s="20" t="s">
        <v>129</v>
      </c>
      <c r="AH51" s="23" t="s">
        <v>30</v>
      </c>
      <c r="AI51" s="18">
        <v>50969519</v>
      </c>
      <c r="AJ51" s="23" t="s">
        <v>246</v>
      </c>
      <c r="AK51" s="44" t="s">
        <v>127</v>
      </c>
      <c r="AL51" s="136">
        <v>50969519</v>
      </c>
      <c r="AM51" s="122">
        <v>0</v>
      </c>
      <c r="AN51" s="105">
        <v>50969519</v>
      </c>
      <c r="AO51" s="108">
        <v>0</v>
      </c>
      <c r="AP51" s="70" t="s">
        <v>187</v>
      </c>
      <c r="AQ51" s="70" t="s">
        <v>277</v>
      </c>
      <c r="AR51" s="60"/>
      <c r="AS51" s="60"/>
      <c r="AT51" s="72"/>
      <c r="AU51" s="60"/>
      <c r="AV51" s="60"/>
      <c r="AW51" s="60"/>
      <c r="AX51" s="60"/>
      <c r="AY51" s="60"/>
      <c r="AZ51" s="60"/>
      <c r="BA51" s="60"/>
    </row>
    <row r="52" spans="2:53" s="47" customFormat="1" ht="51" customHeight="1" thickBot="1" x14ac:dyDescent="0.3">
      <c r="B52" s="44" t="s">
        <v>47</v>
      </c>
      <c r="C52" s="44" t="s">
        <v>48</v>
      </c>
      <c r="D52" s="44" t="s">
        <v>50</v>
      </c>
      <c r="E52" s="6">
        <v>1049212</v>
      </c>
      <c r="F52" s="6">
        <f t="shared" ref="F52" si="24">+E52*13%</f>
        <v>136397.56</v>
      </c>
      <c r="G52" s="20" t="s">
        <v>174</v>
      </c>
      <c r="H52" s="44" t="s">
        <v>173</v>
      </c>
      <c r="I52" s="7">
        <v>0</v>
      </c>
      <c r="J52" s="44" t="s">
        <v>175</v>
      </c>
      <c r="K52" s="7">
        <v>48</v>
      </c>
      <c r="L52" s="7">
        <v>12</v>
      </c>
      <c r="M52" s="7">
        <v>12</v>
      </c>
      <c r="N52" s="91">
        <f>+M52/L52</f>
        <v>1</v>
      </c>
      <c r="O52" s="213"/>
      <c r="P52" s="91">
        <f>M52/K52</f>
        <v>0.25</v>
      </c>
      <c r="Q52" s="113">
        <v>12</v>
      </c>
      <c r="R52" s="94">
        <f>Q52/L52</f>
        <v>1</v>
      </c>
      <c r="S52" s="160"/>
      <c r="T52" s="91">
        <f>Q52/K52</f>
        <v>0.25</v>
      </c>
      <c r="U52" s="20" t="s">
        <v>174</v>
      </c>
      <c r="V52" s="7"/>
      <c r="W52" s="44" t="s">
        <v>176</v>
      </c>
      <c r="X52" s="44"/>
      <c r="Y52" s="7">
        <v>48</v>
      </c>
      <c r="Z52" s="7">
        <v>12</v>
      </c>
      <c r="AA52" s="99">
        <v>12</v>
      </c>
      <c r="AB52" s="20" t="s">
        <v>100</v>
      </c>
      <c r="AC52" s="20" t="s">
        <v>135</v>
      </c>
      <c r="AD52" s="77">
        <f>+P52</f>
        <v>0.25</v>
      </c>
      <c r="AE52" s="103">
        <f>AA52/K52</f>
        <v>0.25</v>
      </c>
      <c r="AF52" s="20" t="s">
        <v>128</v>
      </c>
      <c r="AG52" s="20" t="s">
        <v>129</v>
      </c>
      <c r="AH52" s="23" t="s">
        <v>248</v>
      </c>
      <c r="AI52" s="18">
        <v>0</v>
      </c>
      <c r="AJ52" s="23" t="s">
        <v>248</v>
      </c>
      <c r="AK52" s="134" t="s">
        <v>248</v>
      </c>
      <c r="AL52" s="137">
        <v>0</v>
      </c>
      <c r="AM52" s="7">
        <v>0</v>
      </c>
      <c r="AN52" s="135">
        <v>0</v>
      </c>
      <c r="AO52" s="120">
        <v>0</v>
      </c>
      <c r="AP52" s="67" t="s">
        <v>181</v>
      </c>
      <c r="AQ52" s="67" t="s">
        <v>275</v>
      </c>
      <c r="AR52" s="60"/>
      <c r="AS52" s="60"/>
      <c r="AT52" s="72"/>
      <c r="AU52" s="60"/>
      <c r="AV52" s="60"/>
      <c r="AW52" s="60"/>
      <c r="AX52" s="60"/>
      <c r="AY52" s="60"/>
      <c r="AZ52" s="60"/>
      <c r="BA52" s="60"/>
    </row>
    <row r="53" spans="2:53" ht="90" customHeight="1" thickBot="1" x14ac:dyDescent="0.4">
      <c r="M53" s="124"/>
      <c r="N53" s="125"/>
      <c r="O53" s="126"/>
      <c r="P53" s="83"/>
      <c r="Q53" s="83"/>
      <c r="R53" s="127" t="s">
        <v>290</v>
      </c>
      <c r="S53" s="128">
        <f>(S5+S11+S15+S19+S25+S39+S43)/7</f>
        <v>0.61962602348342899</v>
      </c>
      <c r="T53" s="83"/>
      <c r="U53" s="84"/>
      <c r="V53" s="84"/>
      <c r="W53" s="84"/>
      <c r="X53" s="84"/>
      <c r="Y53" s="85"/>
      <c r="Z53" s="85"/>
      <c r="AA53" s="85"/>
      <c r="AB53" s="84"/>
      <c r="AC53" s="123"/>
      <c r="AD53" s="130" t="s">
        <v>291</v>
      </c>
      <c r="AE53" s="129">
        <f>+AVERAGE(AE5:AE52)</f>
        <v>0.35823223919354436</v>
      </c>
      <c r="AL53" s="131"/>
      <c r="AM53" s="131"/>
      <c r="AN53" s="140">
        <f>SUM(AN5:AN52)</f>
        <v>14995622664</v>
      </c>
      <c r="AO53" s="140">
        <f>SUM(AO5:AO52)</f>
        <v>8287503887.8500004</v>
      </c>
    </row>
    <row r="54" spans="2:53" ht="90.75" customHeight="1" thickBot="1" x14ac:dyDescent="0.4">
      <c r="AL54" s="132"/>
      <c r="AM54" s="133"/>
      <c r="AN54" s="139">
        <f>AO53/AN53</f>
        <v>0.55266153820646713</v>
      </c>
      <c r="AO54" s="138" t="s">
        <v>292</v>
      </c>
    </row>
    <row r="56" spans="2:53" ht="51" customHeight="1" x14ac:dyDescent="0.25">
      <c r="AL56" s="121"/>
    </row>
  </sheetData>
  <sheetProtection algorithmName="SHA-512" hashValue="+kvswAOM9t8fIM4eP6SkRJedkOvb/NZym75zYyj1C0V2Z9nt8oPeQws/YJjCtbrJO+EqlM+OTdqC2zaDpMbQaA==" saltValue="X1efbzoXLAR642yVeMNLAA==" spinCount="100000" sheet="1" objects="1" scenarios="1"/>
  <mergeCells count="167">
    <mergeCell ref="O39:O42"/>
    <mergeCell ref="L45:L46"/>
    <mergeCell ref="M45:M46"/>
    <mergeCell ref="N45:N46"/>
    <mergeCell ref="O43:O52"/>
    <mergeCell ref="I45:I46"/>
    <mergeCell ref="J45:J46"/>
    <mergeCell ref="K45:K46"/>
    <mergeCell ref="N48:N51"/>
    <mergeCell ref="M48:M51"/>
    <mergeCell ref="L48:L51"/>
    <mergeCell ref="K48:K51"/>
    <mergeCell ref="O15:O18"/>
    <mergeCell ref="O19:O24"/>
    <mergeCell ref="M19:M22"/>
    <mergeCell ref="AD5:AD6"/>
    <mergeCell ref="AD7:AD8"/>
    <mergeCell ref="Z9:Z10"/>
    <mergeCell ref="AB9:AB10"/>
    <mergeCell ref="AC9:AC10"/>
    <mergeCell ref="AD9:AD10"/>
    <mergeCell ref="Z15:Z16"/>
    <mergeCell ref="Z17:Z18"/>
    <mergeCell ref="AD15:AD16"/>
    <mergeCell ref="AD17:AD18"/>
    <mergeCell ref="M15:M16"/>
    <mergeCell ref="M17:M18"/>
    <mergeCell ref="Q15:Q16"/>
    <mergeCell ref="Q17:Q18"/>
    <mergeCell ref="L5:L6"/>
    <mergeCell ref="K5:K6"/>
    <mergeCell ref="K7:K8"/>
    <mergeCell ref="L7:L8"/>
    <mergeCell ref="Z5:Z6"/>
    <mergeCell ref="Z7:Z8"/>
    <mergeCell ref="I5:I6"/>
    <mergeCell ref="I7:I8"/>
    <mergeCell ref="O11:O14"/>
    <mergeCell ref="Q5:Q6"/>
    <mergeCell ref="Q7:Q8"/>
    <mergeCell ref="Q9:Q10"/>
    <mergeCell ref="K15:K16"/>
    <mergeCell ref="K17:K18"/>
    <mergeCell ref="L15:L16"/>
    <mergeCell ref="L17:L18"/>
    <mergeCell ref="I9:I10"/>
    <mergeCell ref="AB7:AB8"/>
    <mergeCell ref="AC5:AC6"/>
    <mergeCell ref="AC7:AC8"/>
    <mergeCell ref="AB5:AB6"/>
    <mergeCell ref="O5:O10"/>
    <mergeCell ref="K9:K10"/>
    <mergeCell ref="L9:L10"/>
    <mergeCell ref="M9:M10"/>
    <mergeCell ref="N9:N10"/>
    <mergeCell ref="Y5:Y6"/>
    <mergeCell ref="Y7:Y8"/>
    <mergeCell ref="Y9:Y10"/>
    <mergeCell ref="P9:P10"/>
    <mergeCell ref="P7:P8"/>
    <mergeCell ref="P5:P6"/>
    <mergeCell ref="N5:N6"/>
    <mergeCell ref="N7:N8"/>
    <mergeCell ref="M5:M6"/>
    <mergeCell ref="M7:M8"/>
    <mergeCell ref="H35:H36"/>
    <mergeCell ref="I35:I36"/>
    <mergeCell ref="J35:J36"/>
    <mergeCell ref="M28:M31"/>
    <mergeCell ref="Z28:Z31"/>
    <mergeCell ref="O25:O38"/>
    <mergeCell ref="AK13:AK14"/>
    <mergeCell ref="AL13:AL14"/>
    <mergeCell ref="AM13:AM14"/>
    <mergeCell ref="AH13:AH14"/>
    <mergeCell ref="AI13:AI14"/>
    <mergeCell ref="N15:N16"/>
    <mergeCell ref="N17:N18"/>
    <mergeCell ref="P15:P16"/>
    <mergeCell ref="P17:P18"/>
    <mergeCell ref="AJ13:AJ14"/>
    <mergeCell ref="R15:R16"/>
    <mergeCell ref="S15:S18"/>
    <mergeCell ref="T15:T16"/>
    <mergeCell ref="R17:R18"/>
    <mergeCell ref="T17:T18"/>
    <mergeCell ref="AA19:AA22"/>
    <mergeCell ref="I15:I16"/>
    <mergeCell ref="I17:I18"/>
    <mergeCell ref="K19:K22"/>
    <mergeCell ref="L19:L22"/>
    <mergeCell ref="N19:N22"/>
    <mergeCell ref="P19:P22"/>
    <mergeCell ref="K25:K36"/>
    <mergeCell ref="L25:L36"/>
    <mergeCell ref="N25:N36"/>
    <mergeCell ref="P25:P36"/>
    <mergeCell ref="M32:M34"/>
    <mergeCell ref="M35:M36"/>
    <mergeCell ref="M25:M27"/>
    <mergeCell ref="Y45:Y46"/>
    <mergeCell ref="Y15:Y16"/>
    <mergeCell ref="Y17:Y18"/>
    <mergeCell ref="Y19:Y22"/>
    <mergeCell ref="Y25:Y36"/>
    <mergeCell ref="P48:P51"/>
    <mergeCell ref="Z48:Z51"/>
    <mergeCell ref="AD19:AD22"/>
    <mergeCell ref="AD25:AD36"/>
    <mergeCell ref="AD45:AD46"/>
    <mergeCell ref="AD48:AD51"/>
    <mergeCell ref="Z32:Z34"/>
    <mergeCell ref="Z19:Z21"/>
    <mergeCell ref="Z35:Z36"/>
    <mergeCell ref="Z25:Z27"/>
    <mergeCell ref="Y48:Y51"/>
    <mergeCell ref="P45:P46"/>
    <mergeCell ref="Q45:Q46"/>
    <mergeCell ref="Q48:Q51"/>
    <mergeCell ref="Q19:Q22"/>
    <mergeCell ref="Q25:Q27"/>
    <mergeCell ref="Q28:Q31"/>
    <mergeCell ref="Q32:Q34"/>
    <mergeCell ref="Q35:Q36"/>
    <mergeCell ref="AE5:AE6"/>
    <mergeCell ref="AE7:AE8"/>
    <mergeCell ref="AE15:AE16"/>
    <mergeCell ref="AE9:AE10"/>
    <mergeCell ref="AE17:AE18"/>
    <mergeCell ref="AE19:AE22"/>
    <mergeCell ref="AE25:AE36"/>
    <mergeCell ref="AE45:AE46"/>
    <mergeCell ref="AE48:AE51"/>
    <mergeCell ref="T25:T36"/>
    <mergeCell ref="S39:S42"/>
    <mergeCell ref="R5:R6"/>
    <mergeCell ref="S5:S10"/>
    <mergeCell ref="T5:T6"/>
    <mergeCell ref="R7:R8"/>
    <mergeCell ref="T7:T8"/>
    <mergeCell ref="R9:R10"/>
    <mergeCell ref="T9:T10"/>
    <mergeCell ref="S11:S14"/>
    <mergeCell ref="AO13:AO14"/>
    <mergeCell ref="B2:AQ3"/>
    <mergeCell ref="AA48:AA51"/>
    <mergeCell ref="AN13:AN14"/>
    <mergeCell ref="AA25:AA27"/>
    <mergeCell ref="AA28:AA31"/>
    <mergeCell ref="AA32:AA34"/>
    <mergeCell ref="AA35:AA36"/>
    <mergeCell ref="AA45:AA46"/>
    <mergeCell ref="AA5:AA6"/>
    <mergeCell ref="AA7:AA8"/>
    <mergeCell ref="AA9:AA10"/>
    <mergeCell ref="AA15:AA16"/>
    <mergeCell ref="AA17:AA18"/>
    <mergeCell ref="S43:S52"/>
    <mergeCell ref="R45:R46"/>
    <mergeCell ref="T45:T46"/>
    <mergeCell ref="R48:R51"/>
    <mergeCell ref="T48:T51"/>
    <mergeCell ref="R19:R22"/>
    <mergeCell ref="S19:S24"/>
    <mergeCell ref="T19:T22"/>
    <mergeCell ref="R25:R36"/>
    <mergeCell ref="S25:S38"/>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Gráficos</vt:lpstr>
      </vt:variant>
      <vt:variant>
        <vt:i4>1</vt:i4>
      </vt:variant>
    </vt:vector>
  </HeadingPairs>
  <TitlesOfParts>
    <vt:vector size="2" baseType="lpstr">
      <vt:lpstr>FORMATO NUEVO IDER 2020 </vt:lpstr>
      <vt:lpstr>Gráfico1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Katherine Barcenas Ascanio</dc:creator>
  <cp:lastModifiedBy>IPCC</cp:lastModifiedBy>
  <dcterms:created xsi:type="dcterms:W3CDTF">2020-08-25T20:44:35Z</dcterms:created>
  <dcterms:modified xsi:type="dcterms:W3CDTF">2021-01-22T11:25:34Z</dcterms:modified>
</cp:coreProperties>
</file>