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G:\Mi unidad\IDER\2022\Enero\Ley 1712\"/>
    </mc:Choice>
  </mc:AlternateContent>
  <bookViews>
    <workbookView xWindow="0" yWindow="0" windowWidth="27420" windowHeight="11760" firstSheet="1" activeTab="1"/>
  </bookViews>
  <sheets>
    <sheet name="Gráfico1" sheetId="5" state="hidden" r:id="rId1"/>
    <sheet name="PLAN 2021" sheetId="8" r:id="rId2"/>
    <sheet name="Hoja1" sheetId="9" r:id="rId3"/>
  </sheets>
  <definedNames>
    <definedName name="_xlnm._FilterDatabase" localSheetId="1" hidden="1">'PLAN 2021'!$A$5:$EI$38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J13" i="8" l="1"/>
  <c r="BG13" i="8"/>
  <c r="DX37" i="8" l="1"/>
  <c r="DW37" i="8"/>
  <c r="DY33" i="8"/>
  <c r="DY31" i="8"/>
  <c r="DY29" i="8"/>
  <c r="DY26" i="8"/>
  <c r="DY23" i="8"/>
  <c r="DY22" i="8"/>
  <c r="DY21" i="8"/>
  <c r="DY20" i="8"/>
  <c r="DY17" i="8"/>
  <c r="DY16" i="8"/>
  <c r="DY15" i="8"/>
  <c r="DY13" i="8"/>
  <c r="DY9" i="8"/>
  <c r="DY6" i="8"/>
  <c r="DY8" i="8"/>
  <c r="DY37" i="8" l="1"/>
  <c r="BJ28" i="8"/>
  <c r="W28" i="8"/>
  <c r="CJ29" i="8"/>
  <c r="CK29" i="8" s="1"/>
  <c r="CJ19" i="8" l="1"/>
  <c r="BG19" i="8"/>
  <c r="BG24" i="8"/>
  <c r="BG21" i="8"/>
  <c r="CJ21" i="8"/>
  <c r="CK32" i="8"/>
  <c r="CK31" i="8"/>
  <c r="CK28" i="8"/>
  <c r="CK27" i="8"/>
  <c r="CK26" i="8"/>
  <c r="CK16" i="8"/>
  <c r="CK9" i="8"/>
  <c r="CJ8" i="8"/>
  <c r="CK8" i="8" s="1"/>
  <c r="CJ7" i="8"/>
  <c r="CK7" i="8" s="1"/>
  <c r="BH36" i="8" l="1"/>
  <c r="BI33" i="8" s="1"/>
  <c r="BJ36" i="8"/>
  <c r="BJ32" i="8"/>
  <c r="BJ31" i="8"/>
  <c r="BH32" i="8"/>
  <c r="BH31" i="8"/>
  <c r="BJ27" i="8"/>
  <c r="BH27" i="8"/>
  <c r="BJ26" i="8"/>
  <c r="BH26" i="8"/>
  <c r="BJ24" i="8"/>
  <c r="BH24" i="8"/>
  <c r="BI20" i="8" s="1"/>
  <c r="BJ19" i="8" l="1"/>
  <c r="BJ14" i="8"/>
  <c r="BJ13" i="8"/>
  <c r="BJ10" i="8"/>
  <c r="BJ9" i="8"/>
  <c r="BH9" i="8"/>
  <c r="BI9" i="8" s="1"/>
  <c r="BJ8" i="8"/>
  <c r="BH8" i="8"/>
  <c r="BJ7" i="8"/>
  <c r="BH7" i="8"/>
  <c r="BI6" i="8" l="1"/>
  <c r="CH18" i="8" l="1"/>
  <c r="CJ18" i="8" s="1"/>
  <c r="CK18" i="8" s="1"/>
  <c r="BC18" i="8"/>
  <c r="BG18" i="8" s="1"/>
  <c r="BC24" i="8"/>
  <c r="CH29" i="8"/>
  <c r="BC29" i="8"/>
  <c r="BG29" i="8" s="1"/>
  <c r="BJ18" i="8" l="1"/>
  <c r="BH18" i="8"/>
  <c r="BI15" i="8" s="1"/>
  <c r="BJ29" i="8"/>
  <c r="BH28" i="8"/>
  <c r="DV23" i="8"/>
  <c r="DV13" i="8"/>
  <c r="DV22" i="8" l="1"/>
  <c r="CH24" i="8"/>
  <c r="CJ24" i="8" s="1"/>
  <c r="CK24" i="8" s="1"/>
  <c r="CH25" i="8"/>
  <c r="CJ25" i="8" s="1"/>
  <c r="BC25" i="8"/>
  <c r="BG25" i="8" s="1"/>
  <c r="BJ25" i="8" s="1"/>
  <c r="CH16" i="8"/>
  <c r="DV16" i="8"/>
  <c r="BF28" i="8"/>
  <c r="CI27" i="8"/>
  <c r="CI26" i="8"/>
  <c r="CH30" i="8"/>
  <c r="CJ30" i="8" s="1"/>
  <c r="CK30" i="8" s="1"/>
  <c r="CH14" i="8"/>
  <c r="BC14" i="8"/>
  <c r="CK37" i="8" l="1"/>
  <c r="BF36" i="8"/>
  <c r="CI31" i="8"/>
  <c r="CI28" i="8"/>
  <c r="BD36" i="8"/>
  <c r="BF32" i="8"/>
  <c r="BF31" i="8"/>
  <c r="BD32" i="8"/>
  <c r="BD31" i="8"/>
  <c r="BF29" i="8"/>
  <c r="BD28" i="8"/>
  <c r="AZ28" i="8"/>
  <c r="BF27" i="8"/>
  <c r="BF26" i="8"/>
  <c r="BD27" i="8"/>
  <c r="BD26" i="8"/>
  <c r="BF25" i="8"/>
  <c r="BF24" i="8"/>
  <c r="BD24" i="8"/>
  <c r="BF19" i="8"/>
  <c r="BF18" i="8"/>
  <c r="BD18" i="8"/>
  <c r="BE15" i="8" s="1"/>
  <c r="BF14" i="8"/>
  <c r="BF13" i="8"/>
  <c r="BD13" i="8"/>
  <c r="BE13" i="8" s="1"/>
  <c r="BF10" i="8"/>
  <c r="BF9" i="8"/>
  <c r="BD9" i="8"/>
  <c r="BF8" i="8"/>
  <c r="BF7" i="8"/>
  <c r="BD8" i="8"/>
  <c r="BD7" i="8"/>
  <c r="CI36" i="8"/>
  <c r="CI32" i="8"/>
  <c r="CI30" i="8"/>
  <c r="CI29" i="8"/>
  <c r="CI24" i="8"/>
  <c r="CI18" i="8"/>
  <c r="CI16" i="8"/>
  <c r="CI13" i="8"/>
  <c r="CI9" i="8"/>
  <c r="CH8" i="8"/>
  <c r="CI8" i="8" s="1"/>
  <c r="CH7" i="8"/>
  <c r="CI7" i="8" s="1"/>
  <c r="DV33" i="8"/>
  <c r="DV31" i="8"/>
  <c r="DV29" i="8"/>
  <c r="DV26" i="8"/>
  <c r="DV21" i="8"/>
  <c r="DV20" i="8"/>
  <c r="DV17" i="8"/>
  <c r="DV15" i="8"/>
  <c r="DV9" i="8"/>
  <c r="DV8" i="8"/>
  <c r="DV6" i="8"/>
  <c r="DU37" i="8"/>
  <c r="DV37" i="8" s="1"/>
  <c r="DT37" i="8"/>
  <c r="BE9" i="8"/>
  <c r="BE33" i="8" l="1"/>
  <c r="BE6" i="8"/>
  <c r="BE20" i="8"/>
  <c r="AY24" i="8"/>
  <c r="CG29" i="8" l="1"/>
  <c r="DS31" i="8" l="1"/>
  <c r="DS23" i="8"/>
  <c r="DS22" i="8"/>
  <c r="DS20" i="8"/>
  <c r="CF8" i="8" l="1"/>
  <c r="AY34" i="8"/>
  <c r="AY33" i="8"/>
  <c r="BC33" i="8" s="1"/>
  <c r="BG33" i="8" s="1"/>
  <c r="CF33" i="8"/>
  <c r="CH33" i="8" s="1"/>
  <c r="CJ33" i="8" s="1"/>
  <c r="CF34" i="8"/>
  <c r="CH34" i="8" s="1"/>
  <c r="CJ34" i="8" s="1"/>
  <c r="AY16" i="8"/>
  <c r="BC16" i="8" s="1"/>
  <c r="CF19" i="8"/>
  <c r="CF18" i="8"/>
  <c r="AY19" i="8"/>
  <c r="AY18" i="8"/>
  <c r="CF22" i="8"/>
  <c r="CH22" i="8" s="1"/>
  <c r="CJ22" i="8" s="1"/>
  <c r="CF21" i="8"/>
  <c r="BC34" i="8" l="1"/>
  <c r="BG34" i="8" s="1"/>
  <c r="AY8" i="8"/>
  <c r="CF13" i="8"/>
  <c r="DS33" i="8"/>
  <c r="DS13" i="8"/>
  <c r="BB36" i="8" l="1"/>
  <c r="BB34" i="8"/>
  <c r="BB32" i="8"/>
  <c r="BB31" i="8"/>
  <c r="BB29" i="8"/>
  <c r="BB28" i="8"/>
  <c r="BB27" i="8"/>
  <c r="BB26" i="8"/>
  <c r="BB24" i="8"/>
  <c r="BB19" i="8"/>
  <c r="BB18" i="8"/>
  <c r="BB14" i="8"/>
  <c r="BB10" i="8"/>
  <c r="BB9" i="8"/>
  <c r="BB8" i="8"/>
  <c r="BB7" i="8"/>
  <c r="AZ36" i="8"/>
  <c r="AZ34" i="8"/>
  <c r="AZ32" i="8"/>
  <c r="AZ31" i="8"/>
  <c r="AZ27" i="8"/>
  <c r="AZ26" i="8"/>
  <c r="AZ18" i="8"/>
  <c r="BA15" i="8" s="1"/>
  <c r="AZ14" i="8"/>
  <c r="AZ9" i="8"/>
  <c r="AZ8" i="8"/>
  <c r="AZ7" i="8"/>
  <c r="AY25" i="8"/>
  <c r="BB25" i="8" s="1"/>
  <c r="AZ24" i="8"/>
  <c r="CG8" i="8"/>
  <c r="CG9" i="8"/>
  <c r="CG14" i="8"/>
  <c r="CG16" i="8"/>
  <c r="CG18" i="8"/>
  <c r="CG24" i="8"/>
  <c r="CG25" i="8"/>
  <c r="CG26" i="8"/>
  <c r="CG27" i="8"/>
  <c r="CG30" i="8"/>
  <c r="CG31" i="8"/>
  <c r="CG32" i="8"/>
  <c r="CG34" i="8"/>
  <c r="CG36" i="8"/>
  <c r="CF7" i="8"/>
  <c r="CG7" i="8" s="1"/>
  <c r="DR37" i="8"/>
  <c r="AZ25" i="8" l="1"/>
  <c r="BA33" i="8"/>
  <c r="BA20" i="8"/>
  <c r="BA9" i="8"/>
  <c r="BA6" i="8"/>
  <c r="AU24" i="8"/>
  <c r="AU13" i="8"/>
  <c r="AY13" i="8" s="1"/>
  <c r="BB13" i="8" l="1"/>
  <c r="AZ13" i="8"/>
  <c r="BA13" i="8" s="1"/>
  <c r="AU17" i="8"/>
  <c r="AX24" i="8"/>
  <c r="AU25" i="8"/>
  <c r="AX25" i="8" s="1"/>
  <c r="AV28" i="8"/>
  <c r="CE30" i="8"/>
  <c r="AV7" i="8"/>
  <c r="AV8" i="8"/>
  <c r="AV9" i="8"/>
  <c r="AV10" i="8"/>
  <c r="AV13" i="8"/>
  <c r="AV14" i="8"/>
  <c r="AV18" i="8"/>
  <c r="AV19" i="8"/>
  <c r="AV26" i="8"/>
  <c r="AV27" i="8"/>
  <c r="AV31" i="8"/>
  <c r="AX19" i="8"/>
  <c r="AX18" i="8"/>
  <c r="AX14" i="8"/>
  <c r="AX13" i="8"/>
  <c r="AX10" i="8"/>
  <c r="AX9" i="8"/>
  <c r="AX8" i="8"/>
  <c r="AX7" i="8"/>
  <c r="AX26" i="8"/>
  <c r="AX27" i="8"/>
  <c r="AX28" i="8"/>
  <c r="AX29" i="8"/>
  <c r="AX31" i="8"/>
  <c r="AX32" i="8"/>
  <c r="AV32" i="8"/>
  <c r="AX36" i="8"/>
  <c r="AX34" i="8"/>
  <c r="AV34" i="8"/>
  <c r="AW33" i="8" l="1"/>
  <c r="AV24" i="8"/>
  <c r="AV25" i="8"/>
  <c r="CE10" i="8" l="1"/>
  <c r="CE13" i="8"/>
  <c r="CE14" i="8"/>
  <c r="CE18" i="8"/>
  <c r="CE19" i="8"/>
  <c r="CE23" i="8"/>
  <c r="CE24" i="8"/>
  <c r="CE25" i="8"/>
  <c r="CE26" i="8"/>
  <c r="CE29" i="8"/>
  <c r="CE31" i="8"/>
  <c r="CE32" i="8"/>
  <c r="CE34" i="8"/>
  <c r="CE36" i="8"/>
  <c r="CE8" i="8"/>
  <c r="CE9" i="8"/>
  <c r="DJ37" i="8"/>
  <c r="DN15" i="8"/>
  <c r="DN22" i="8"/>
  <c r="DN31" i="8"/>
  <c r="DN16" i="8"/>
  <c r="DN17" i="8"/>
  <c r="DN13" i="8"/>
  <c r="DN21" i="8"/>
  <c r="DN20" i="8"/>
  <c r="DN8" i="8"/>
  <c r="DN29" i="8"/>
  <c r="DN6" i="8"/>
  <c r="DN9" i="8"/>
  <c r="DN33" i="8"/>
  <c r="DN23" i="8"/>
  <c r="DN26" i="8"/>
  <c r="DM37" i="8"/>
  <c r="DO37" i="8"/>
  <c r="CD7" i="8"/>
  <c r="CE7" i="8" s="1"/>
  <c r="AU16" i="8"/>
  <c r="CD16" i="8" s="1"/>
  <c r="CE16" i="8" s="1"/>
  <c r="AQ8" i="8"/>
  <c r="AQ25" i="8"/>
  <c r="CB25" i="8"/>
  <c r="CB24" i="8"/>
  <c r="AQ24" i="8"/>
  <c r="DP29" i="8" l="1"/>
  <c r="DS29" i="8"/>
  <c r="DP13" i="8"/>
  <c r="DP33" i="8"/>
  <c r="DP8" i="8"/>
  <c r="DS8" i="8"/>
  <c r="DP17" i="8"/>
  <c r="DS17" i="8"/>
  <c r="DP15" i="8"/>
  <c r="DS15" i="8"/>
  <c r="DP23" i="8"/>
  <c r="DP22" i="8"/>
  <c r="DP9" i="8"/>
  <c r="DS9" i="8"/>
  <c r="DP20" i="8"/>
  <c r="DP16" i="8"/>
  <c r="DS16" i="8"/>
  <c r="DP26" i="8"/>
  <c r="DS26" i="8"/>
  <c r="DP6" i="8"/>
  <c r="DP21" i="8"/>
  <c r="DS21" i="8"/>
  <c r="DP31" i="8"/>
  <c r="DN37" i="8"/>
  <c r="DP37" i="8" s="1"/>
  <c r="CB30" i="8"/>
  <c r="AQ27" i="8"/>
  <c r="BZ16" i="8"/>
  <c r="AT25" i="8"/>
  <c r="AT24" i="8"/>
  <c r="DQ37" i="8" l="1"/>
  <c r="DS37" i="8" s="1"/>
  <c r="DS6" i="8"/>
  <c r="CC9" i="8"/>
  <c r="CB8" i="8"/>
  <c r="CB13" i="8"/>
  <c r="AT7" i="8" l="1"/>
  <c r="AQ35" i="8"/>
  <c r="CB35" i="8"/>
  <c r="CC30" i="8"/>
  <c r="CA30" i="8"/>
  <c r="CC36" i="8" l="1"/>
  <c r="CC32" i="8"/>
  <c r="CC31" i="8"/>
  <c r="CC29" i="8"/>
  <c r="CC28" i="8"/>
  <c r="CC25" i="8"/>
  <c r="CC24" i="8"/>
  <c r="CC19" i="8"/>
  <c r="CC18" i="8"/>
  <c r="CC16" i="8"/>
  <c r="CC14" i="8"/>
  <c r="CC13" i="8"/>
  <c r="CC10" i="8"/>
  <c r="CC8" i="8"/>
  <c r="AT36" i="8"/>
  <c r="AR36" i="8"/>
  <c r="AT32" i="8"/>
  <c r="AR32" i="8"/>
  <c r="AT31" i="8"/>
  <c r="AR31" i="8"/>
  <c r="AT29" i="8"/>
  <c r="AT28" i="8"/>
  <c r="AT27" i="8"/>
  <c r="AR27" i="8"/>
  <c r="AR25" i="8"/>
  <c r="AR24" i="8"/>
  <c r="AT19" i="8"/>
  <c r="AT18" i="8"/>
  <c r="AR19" i="8"/>
  <c r="AR18" i="8"/>
  <c r="AT16" i="8"/>
  <c r="AT14" i="8"/>
  <c r="AR14" i="8"/>
  <c r="AT13" i="8"/>
  <c r="AR13" i="8"/>
  <c r="AT10" i="8"/>
  <c r="AT9" i="8"/>
  <c r="AT8" i="8"/>
  <c r="AR8" i="8"/>
  <c r="AR10" i="8"/>
  <c r="AR9" i="8"/>
  <c r="AR7" i="8"/>
  <c r="DK37" i="8"/>
  <c r="DL33" i="8"/>
  <c r="DL26" i="8"/>
  <c r="DL20" i="8"/>
  <c r="DL15" i="8"/>
  <c r="DL13" i="8"/>
  <c r="DL9" i="8"/>
  <c r="DL6" i="8"/>
  <c r="CB7" i="8"/>
  <c r="CC7" i="8" s="1"/>
  <c r="AM16" i="8"/>
  <c r="BZ20" i="8"/>
  <c r="CB20" i="8" s="1"/>
  <c r="CD20" i="8" s="1"/>
  <c r="CF20" i="8" s="1"/>
  <c r="AM20" i="8"/>
  <c r="AQ20" i="8" s="1"/>
  <c r="AU20" i="8" s="1"/>
  <c r="AY20" i="8" s="1"/>
  <c r="AM23" i="8"/>
  <c r="AQ23" i="8" s="1"/>
  <c r="AU23" i="8" s="1"/>
  <c r="AY23" i="8" l="1"/>
  <c r="BC23" i="8" s="1"/>
  <c r="BG23" i="8" s="1"/>
  <c r="CF23" i="8"/>
  <c r="AT23" i="8"/>
  <c r="DL37" i="8"/>
  <c r="AT20" i="8"/>
  <c r="AM12" i="8"/>
  <c r="AQ12" i="8" s="1"/>
  <c r="BZ12" i="8"/>
  <c r="CB12" i="8" s="1"/>
  <c r="CD12" i="8" s="1"/>
  <c r="CF12" i="8" s="1"/>
  <c r="CH12" i="8" s="1"/>
  <c r="CJ12" i="8" s="1"/>
  <c r="AM34" i="8"/>
  <c r="BZ33" i="8"/>
  <c r="CB33" i="8" s="1"/>
  <c r="AN32" i="8"/>
  <c r="AM27" i="8"/>
  <c r="AM26" i="8"/>
  <c r="AQ26" i="8" s="1"/>
  <c r="BZ26" i="8"/>
  <c r="CB26" i="8" s="1"/>
  <c r="CH23" i="8" l="1"/>
  <c r="CG23" i="8"/>
  <c r="CC26" i="8"/>
  <c r="AT12" i="8"/>
  <c r="AU12" i="8"/>
  <c r="AQ34" i="8"/>
  <c r="H33" i="8"/>
  <c r="AT26" i="8"/>
  <c r="AR26" i="8"/>
  <c r="AR28" i="8"/>
  <c r="CA26" i="8"/>
  <c r="AP36" i="8"/>
  <c r="AN36" i="8"/>
  <c r="AP34" i="8"/>
  <c r="AN34" i="8"/>
  <c r="AP32" i="8"/>
  <c r="AP31" i="8"/>
  <c r="AP29" i="8"/>
  <c r="AP28" i="8"/>
  <c r="AN28" i="8"/>
  <c r="AP27" i="8"/>
  <c r="AN27" i="8"/>
  <c r="AP26" i="8"/>
  <c r="AN26" i="8"/>
  <c r="AP25" i="8"/>
  <c r="AN25" i="8"/>
  <c r="AN24" i="8"/>
  <c r="AP24" i="8"/>
  <c r="AP23" i="8"/>
  <c r="AP20" i="8"/>
  <c r="AP19" i="8"/>
  <c r="AN19" i="8"/>
  <c r="AP18" i="8"/>
  <c r="AN18" i="8"/>
  <c r="AP16" i="8"/>
  <c r="AP14" i="8"/>
  <c r="AN14" i="8"/>
  <c r="AP13" i="8"/>
  <c r="AN13" i="8"/>
  <c r="AP12" i="8"/>
  <c r="AP10" i="8"/>
  <c r="AN10" i="8"/>
  <c r="AN9" i="8"/>
  <c r="AP9" i="8"/>
  <c r="AP8" i="8"/>
  <c r="AP7" i="8"/>
  <c r="AP6" i="8"/>
  <c r="AN8" i="8"/>
  <c r="AN7" i="8"/>
  <c r="DI33" i="8"/>
  <c r="DI26" i="8"/>
  <c r="DI20" i="8"/>
  <c r="DI15" i="8"/>
  <c r="DI13" i="8"/>
  <c r="DI9" i="8"/>
  <c r="DI6" i="8"/>
  <c r="DH37" i="8"/>
  <c r="DG37" i="8"/>
  <c r="CA32" i="8"/>
  <c r="CA31" i="8"/>
  <c r="CA29" i="8"/>
  <c r="CA28" i="8"/>
  <c r="CA25" i="8"/>
  <c r="CA24" i="8"/>
  <c r="CA19" i="8"/>
  <c r="CA18" i="8"/>
  <c r="CA16" i="8"/>
  <c r="CA14" i="8"/>
  <c r="CA13" i="8"/>
  <c r="CA10" i="8"/>
  <c r="CA9" i="8"/>
  <c r="CA8" i="8"/>
  <c r="BZ7" i="8"/>
  <c r="CA7" i="8" s="1"/>
  <c r="CI23" i="8" l="1"/>
  <c r="CI37" i="8" s="1"/>
  <c r="CJ23" i="8"/>
  <c r="AX12" i="8"/>
  <c r="AY12" i="8"/>
  <c r="BC12" i="8" s="1"/>
  <c r="BG12" i="8" s="1"/>
  <c r="AT34" i="8"/>
  <c r="AR34" i="8"/>
  <c r="AO15" i="8"/>
  <c r="AO6" i="8"/>
  <c r="AO9" i="8"/>
  <c r="AO13" i="8"/>
  <c r="DI37" i="8"/>
  <c r="DF26" i="8"/>
  <c r="DF13" i="8"/>
  <c r="DF6" i="8"/>
  <c r="CW6" i="8"/>
  <c r="BY14" i="8"/>
  <c r="BY9" i="8"/>
  <c r="BY10" i="8"/>
  <c r="BY12" i="8"/>
  <c r="BY13" i="8"/>
  <c r="BY16" i="8"/>
  <c r="BY18" i="8"/>
  <c r="BY19" i="8"/>
  <c r="BY24" i="8"/>
  <c r="BY25" i="8"/>
  <c r="BY26" i="8"/>
  <c r="BY28" i="8"/>
  <c r="BY29" i="8"/>
  <c r="BY31" i="8"/>
  <c r="BY36" i="8"/>
  <c r="AL12" i="8"/>
  <c r="AL6" i="8"/>
  <c r="AJ28" i="8" l="1"/>
  <c r="DD37" i="8" l="1"/>
  <c r="BX17" i="8" l="1"/>
  <c r="BZ17" i="8" s="1"/>
  <c r="AI23" i="8"/>
  <c r="BX23" i="8"/>
  <c r="BY23" i="8" l="1"/>
  <c r="BZ23" i="8"/>
  <c r="CB23" i="8" s="1"/>
  <c r="BX27" i="8"/>
  <c r="AI27" i="8"/>
  <c r="BV34" i="8"/>
  <c r="AI7" i="8"/>
  <c r="BX7" i="8"/>
  <c r="BY7" i="8" s="1"/>
  <c r="CC23" i="8" l="1"/>
  <c r="CA23" i="8"/>
  <c r="BY27" i="8"/>
  <c r="BZ27" i="8"/>
  <c r="CB27" i="8" s="1"/>
  <c r="AL7" i="8"/>
  <c r="AJ7" i="8"/>
  <c r="AI34" i="8"/>
  <c r="AI33" i="8"/>
  <c r="AM33" i="8" s="1"/>
  <c r="AQ33" i="8" s="1"/>
  <c r="CC27" i="8" l="1"/>
  <c r="CD27" i="8"/>
  <c r="CE27" i="8" s="1"/>
  <c r="CA27" i="8"/>
  <c r="AO33" i="8"/>
  <c r="F15" i="8"/>
  <c r="CQ17" i="8"/>
  <c r="BX21" i="8"/>
  <c r="BZ21" i="8" s="1"/>
  <c r="CB21" i="8" s="1"/>
  <c r="BX35" i="8"/>
  <c r="BX34" i="8"/>
  <c r="BV35" i="8"/>
  <c r="BX33" i="8"/>
  <c r="BY33" i="8" s="1"/>
  <c r="DF33" i="8"/>
  <c r="BY34" i="8" l="1"/>
  <c r="BZ34" i="8"/>
  <c r="CB34" i="8" s="1"/>
  <c r="DF20" i="8"/>
  <c r="DF15" i="8"/>
  <c r="DF9" i="8"/>
  <c r="CC34" i="8" l="1"/>
  <c r="CC37" i="8" s="1"/>
  <c r="CA34" i="8"/>
  <c r="AL36" i="8"/>
  <c r="AL34" i="8"/>
  <c r="AL33" i="8"/>
  <c r="AL32" i="8"/>
  <c r="AL31" i="8"/>
  <c r="AL29" i="8"/>
  <c r="AL28" i="8"/>
  <c r="AL27" i="8"/>
  <c r="AL26" i="8"/>
  <c r="AL25" i="8"/>
  <c r="AL24" i="8"/>
  <c r="AL23" i="8"/>
  <c r="AL20" i="8"/>
  <c r="AL19" i="8"/>
  <c r="AL18" i="8"/>
  <c r="AL16" i="8"/>
  <c r="AL14" i="8"/>
  <c r="AL13" i="8"/>
  <c r="AL10" i="8"/>
  <c r="AL9" i="8"/>
  <c r="AL8" i="8"/>
  <c r="AJ36" i="8"/>
  <c r="AJ34" i="8"/>
  <c r="AJ33" i="8"/>
  <c r="AJ32" i="8"/>
  <c r="AJ27" i="8"/>
  <c r="AJ26" i="8"/>
  <c r="AJ25" i="8"/>
  <c r="AJ24" i="8"/>
  <c r="AJ18" i="8"/>
  <c r="AJ14" i="8"/>
  <c r="AJ13" i="8"/>
  <c r="AJ12" i="8"/>
  <c r="AJ19" i="8"/>
  <c r="AJ10" i="8"/>
  <c r="AJ9" i="8"/>
  <c r="AJ8" i="8"/>
  <c r="AK15" i="8" l="1"/>
  <c r="AK33" i="8"/>
  <c r="AK13" i="8"/>
  <c r="AK9" i="8"/>
  <c r="AK6" i="8"/>
  <c r="DE37" i="8"/>
  <c r="DF37" i="8" s="1"/>
  <c r="BV33" i="8" l="1"/>
  <c r="BV30" i="8" l="1"/>
  <c r="BX30" i="8" s="1"/>
  <c r="BY30" i="8" s="1"/>
  <c r="BW27" i="8"/>
  <c r="AH29" i="8"/>
  <c r="AH27" i="8"/>
  <c r="AF26" i="8"/>
  <c r="AB30" i="8"/>
  <c r="AE30" i="8" s="1"/>
  <c r="AF30" i="8" l="1"/>
  <c r="AI30" i="8"/>
  <c r="AM30" i="8" s="1"/>
  <c r="DC26" i="8"/>
  <c r="DC15" i="8"/>
  <c r="DC20" i="8"/>
  <c r="DC33" i="8"/>
  <c r="AQ30" i="8" l="1"/>
  <c r="AU30" i="8" s="1"/>
  <c r="AY30" i="8" s="1"/>
  <c r="AP30" i="8"/>
  <c r="AN30" i="8"/>
  <c r="AO26" i="8" s="1"/>
  <c r="AJ30" i="8"/>
  <c r="AK26" i="8" s="1"/>
  <c r="AL30" i="8"/>
  <c r="BV22" i="8"/>
  <c r="BX22" i="8" s="1"/>
  <c r="BV20" i="8"/>
  <c r="BV21" i="8"/>
  <c r="BC30" i="8" l="1"/>
  <c r="BG30" i="8" s="1"/>
  <c r="BB30" i="8"/>
  <c r="AZ30" i="8"/>
  <c r="BA26" i="8" s="1"/>
  <c r="BA37" i="8" s="1"/>
  <c r="AX30" i="8"/>
  <c r="AV30" i="8"/>
  <c r="AT30" i="8"/>
  <c r="AR30" i="8"/>
  <c r="BY22" i="8"/>
  <c r="BZ22" i="8"/>
  <c r="CB22" i="8" s="1"/>
  <c r="CW26" i="8"/>
  <c r="CW20" i="8"/>
  <c r="BW29" i="8"/>
  <c r="BW28" i="8"/>
  <c r="BW36" i="8"/>
  <c r="BW34" i="8"/>
  <c r="BW33" i="8"/>
  <c r="BW31" i="8"/>
  <c r="BW30" i="8"/>
  <c r="BW26" i="8"/>
  <c r="BW25" i="8"/>
  <c r="BW24" i="8"/>
  <c r="BW19" i="8"/>
  <c r="BW17" i="8"/>
  <c r="BW16" i="8"/>
  <c r="AH36" i="8"/>
  <c r="AH32" i="8"/>
  <c r="AH31" i="8"/>
  <c r="AH30" i="8"/>
  <c r="AH28" i="8"/>
  <c r="AH26" i="8"/>
  <c r="AH25" i="8"/>
  <c r="AH24" i="8"/>
  <c r="BW23" i="8"/>
  <c r="BW22" i="8"/>
  <c r="BW21" i="8"/>
  <c r="BW20" i="8"/>
  <c r="BW18" i="8"/>
  <c r="BW14" i="8"/>
  <c r="BW13" i="8"/>
  <c r="BW12" i="8"/>
  <c r="BW10" i="8"/>
  <c r="BW9" i="8"/>
  <c r="BW7" i="8"/>
  <c r="BW6" i="8"/>
  <c r="BW35" i="8"/>
  <c r="BH30" i="8" l="1"/>
  <c r="BI26" i="8" s="1"/>
  <c r="BI37" i="8" s="1"/>
  <c r="BJ30" i="8"/>
  <c r="BD30" i="8"/>
  <c r="BE26" i="8" s="1"/>
  <c r="BE37" i="8" s="1"/>
  <c r="BF30" i="8"/>
  <c r="K13" i="8"/>
  <c r="CZ20" i="8"/>
  <c r="CZ26" i="8"/>
  <c r="DB37" i="8"/>
  <c r="CT6" i="8" l="1"/>
  <c r="DC6" i="8"/>
  <c r="CZ6" i="8"/>
  <c r="AH19" i="8" l="1"/>
  <c r="AH18" i="8"/>
  <c r="AH16" i="8"/>
  <c r="AH14" i="8"/>
  <c r="AH13" i="8"/>
  <c r="AH12" i="8"/>
  <c r="AH10" i="8"/>
  <c r="AH9" i="8"/>
  <c r="AH8" i="8"/>
  <c r="AH7" i="8"/>
  <c r="AH6" i="8"/>
  <c r="AF32" i="8"/>
  <c r="AF31" i="8"/>
  <c r="AF28" i="8"/>
  <c r="AF27" i="8"/>
  <c r="AF36" i="8"/>
  <c r="AF25" i="8" l="1"/>
  <c r="AF24" i="8"/>
  <c r="AF19" i="8"/>
  <c r="AF18" i="8"/>
  <c r="AF14" i="8"/>
  <c r="AF13" i="8"/>
  <c r="AF12" i="8"/>
  <c r="AF10" i="8"/>
  <c r="AF9" i="8"/>
  <c r="AF8" i="8"/>
  <c r="AF7" i="8"/>
  <c r="DC13" i="8"/>
  <c r="DC9" i="8"/>
  <c r="AG15" i="8" l="1"/>
  <c r="AG13" i="8"/>
  <c r="AG6" i="8"/>
  <c r="AG9" i="8"/>
  <c r="DA37" i="8"/>
  <c r="DC37" i="8" s="1"/>
  <c r="BS6" i="8"/>
  <c r="AB6" i="8" l="1"/>
  <c r="BT6" i="8"/>
  <c r="BU36" i="8" l="1"/>
  <c r="BU31" i="8"/>
  <c r="BU29" i="8"/>
  <c r="BU28" i="8"/>
  <c r="BU27" i="8"/>
  <c r="BU26" i="8"/>
  <c r="BU25" i="8"/>
  <c r="BU24" i="8"/>
  <c r="BU19" i="8" l="1"/>
  <c r="BU18" i="8"/>
  <c r="BU16" i="8"/>
  <c r="BU14" i="8"/>
  <c r="BU13" i="8"/>
  <c r="BU12" i="8"/>
  <c r="AB32" i="8" l="1"/>
  <c r="BT32" i="8"/>
  <c r="BT30" i="8"/>
  <c r="BU30" i="8" s="1"/>
  <c r="BU32" i="8" l="1"/>
  <c r="BV32" i="8"/>
  <c r="AG26" i="8"/>
  <c r="BU10" i="8"/>
  <c r="BU9" i="8"/>
  <c r="BU7" i="8"/>
  <c r="BU6" i="8"/>
  <c r="BT22" i="8"/>
  <c r="BU22" i="8" s="1"/>
  <c r="BT8" i="8"/>
  <c r="CT33" i="8"/>
  <c r="CT31" i="8"/>
  <c r="CT29" i="8"/>
  <c r="CT26" i="8"/>
  <c r="CT23" i="8"/>
  <c r="CT22" i="8"/>
  <c r="CT21" i="8"/>
  <c r="CT20" i="8"/>
  <c r="CT16" i="8"/>
  <c r="CT15" i="8"/>
  <c r="CT13" i="8"/>
  <c r="CT9" i="8"/>
  <c r="CW33" i="8"/>
  <c r="CW13" i="8"/>
  <c r="CW9" i="8"/>
  <c r="CZ33" i="8"/>
  <c r="CZ13" i="8"/>
  <c r="CZ9" i="8"/>
  <c r="BW32" i="8" l="1"/>
  <c r="BX32" i="8"/>
  <c r="BY32" i="8" s="1"/>
  <c r="BU8" i="8"/>
  <c r="BV8" i="8"/>
  <c r="AB22" i="8"/>
  <c r="BW8" i="8" l="1"/>
  <c r="BX8" i="8"/>
  <c r="BY8" i="8" s="1"/>
  <c r="AE22" i="8"/>
  <c r="AC36" i="8"/>
  <c r="AC32" i="8"/>
  <c r="AC31" i="8"/>
  <c r="AC28" i="8"/>
  <c r="AC27" i="8"/>
  <c r="AC26" i="8"/>
  <c r="AC25" i="8"/>
  <c r="AC24" i="8"/>
  <c r="AC19" i="8"/>
  <c r="AC18" i="8"/>
  <c r="AC14" i="8"/>
  <c r="AC13" i="8"/>
  <c r="AC12" i="8"/>
  <c r="AC11" i="8"/>
  <c r="AC10" i="8"/>
  <c r="AC9" i="8"/>
  <c r="AC7" i="8"/>
  <c r="CY37" i="8"/>
  <c r="CX17" i="8"/>
  <c r="CZ15" i="8" s="1"/>
  <c r="AH22" i="8" l="1"/>
  <c r="AI22" i="8"/>
  <c r="CX37" i="8"/>
  <c r="CZ37" i="8" s="1"/>
  <c r="AD9" i="8"/>
  <c r="AD13" i="8"/>
  <c r="AC30" i="8"/>
  <c r="AD26" i="8" s="1"/>
  <c r="AD15" i="8"/>
  <c r="AL22" i="8" l="1"/>
  <c r="AM22" i="8"/>
  <c r="AQ22" i="8" s="1"/>
  <c r="AU22" i="8" s="1"/>
  <c r="AY22" i="8" s="1"/>
  <c r="BC22" i="8" s="1"/>
  <c r="BG22" i="8" s="1"/>
  <c r="Y26" i="8"/>
  <c r="AT22" i="8" l="1"/>
  <c r="AP22" i="8"/>
  <c r="BR35" i="8"/>
  <c r="X35" i="8"/>
  <c r="BR22" i="8"/>
  <c r="BR20" i="8"/>
  <c r="BT20" i="8" s="1"/>
  <c r="BR23" i="8"/>
  <c r="BT23" i="8" s="1"/>
  <c r="X17" i="8"/>
  <c r="AB17" i="8" s="1"/>
  <c r="AE17" i="8" s="1"/>
  <c r="X15" i="8"/>
  <c r="AB15" i="8" s="1"/>
  <c r="AE15" i="8" s="1"/>
  <c r="BR15" i="8"/>
  <c r="BT15" i="8" s="1"/>
  <c r="BV15" i="8" s="1"/>
  <c r="BR17" i="8"/>
  <c r="BT17" i="8" s="1"/>
  <c r="X21" i="8"/>
  <c r="AB21" i="8" s="1"/>
  <c r="BR21" i="8"/>
  <c r="BT21" i="8" s="1"/>
  <c r="X8" i="8"/>
  <c r="AB8" i="8" s="1"/>
  <c r="BR8" i="8"/>
  <c r="BR34" i="8"/>
  <c r="T34" i="8"/>
  <c r="X34" i="8" s="1"/>
  <c r="AB34" i="8" s="1"/>
  <c r="T33" i="8"/>
  <c r="X33" i="8" s="1"/>
  <c r="AB33" i="8" s="1"/>
  <c r="BX15" i="8" l="1"/>
  <c r="BZ15" i="8" s="1"/>
  <c r="CB15" i="8" s="1"/>
  <c r="CD15" i="8" s="1"/>
  <c r="CF15" i="8" s="1"/>
  <c r="CH15" i="8" s="1"/>
  <c r="CJ15" i="8" s="1"/>
  <c r="BW15" i="8"/>
  <c r="AI15" i="8"/>
  <c r="AH15" i="8"/>
  <c r="AH17" i="8"/>
  <c r="AI17" i="8"/>
  <c r="AM17" i="8" s="1"/>
  <c r="AE33" i="8"/>
  <c r="AH33" i="8" s="1"/>
  <c r="AE21" i="8"/>
  <c r="AE34" i="8"/>
  <c r="AH34" i="8" s="1"/>
  <c r="BU15" i="8"/>
  <c r="BU20" i="8"/>
  <c r="BU21" i="8"/>
  <c r="BU17" i="8"/>
  <c r="BU23" i="8"/>
  <c r="AC34" i="8"/>
  <c r="AC33" i="8"/>
  <c r="BS34" i="8"/>
  <c r="BT34" i="8"/>
  <c r="Y35" i="8"/>
  <c r="AB35" i="8"/>
  <c r="AE35" i="8" s="1"/>
  <c r="BS35" i="8"/>
  <c r="BT35" i="8"/>
  <c r="AC8" i="8"/>
  <c r="AD6" i="8" s="1"/>
  <c r="BR30" i="8"/>
  <c r="X30" i="8"/>
  <c r="CA37" i="8" l="1"/>
  <c r="AL15" i="8"/>
  <c r="AM15" i="8"/>
  <c r="AQ15" i="8" s="1"/>
  <c r="AU15" i="8" s="1"/>
  <c r="AY15" i="8" s="1"/>
  <c r="AL17" i="8"/>
  <c r="AH21" i="8"/>
  <c r="AI21" i="8"/>
  <c r="AM21" i="8" s="1"/>
  <c r="AQ21" i="8" s="1"/>
  <c r="AU21" i="8" s="1"/>
  <c r="AH35" i="8"/>
  <c r="AI35" i="8"/>
  <c r="AF34" i="8"/>
  <c r="AF33" i="8"/>
  <c r="BU35" i="8"/>
  <c r="BU34" i="8"/>
  <c r="AC35" i="8"/>
  <c r="AD33" i="8" s="1"/>
  <c r="CV37" i="8"/>
  <c r="CU17" i="8"/>
  <c r="CW15" i="8" s="1"/>
  <c r="CQ15" i="8"/>
  <c r="CQ37" i="8" s="1"/>
  <c r="BC15" i="8" l="1"/>
  <c r="BG15" i="8" s="1"/>
  <c r="AX20" i="8"/>
  <c r="AY21" i="8"/>
  <c r="AT21" i="8"/>
  <c r="I20" i="8"/>
  <c r="AR20" i="8"/>
  <c r="AP17" i="8"/>
  <c r="AT17" i="8"/>
  <c r="AP15" i="8"/>
  <c r="AP21" i="8"/>
  <c r="AN20" i="8"/>
  <c r="AO20" i="8" s="1"/>
  <c r="AO37" i="8" s="1"/>
  <c r="AJ20" i="8"/>
  <c r="AK20" i="8" s="1"/>
  <c r="AK37" i="8" s="1"/>
  <c r="AL21" i="8"/>
  <c r="AG33" i="8"/>
  <c r="CU37" i="8"/>
  <c r="CW37" i="8" s="1"/>
  <c r="Y15" i="8"/>
  <c r="U15" i="8"/>
  <c r="AA17" i="8"/>
  <c r="BS32" i="8"/>
  <c r="BS31" i="8"/>
  <c r="BS30" i="8"/>
  <c r="BS29" i="8"/>
  <c r="BS28" i="8"/>
  <c r="BS27" i="8"/>
  <c r="BS26" i="8"/>
  <c r="BS36" i="8"/>
  <c r="BS24" i="8"/>
  <c r="BS25" i="8"/>
  <c r="BS23" i="8"/>
  <c r="BS22" i="8"/>
  <c r="BS21" i="8"/>
  <c r="BS20" i="8"/>
  <c r="BS19" i="8"/>
  <c r="BS18" i="8"/>
  <c r="BS17" i="8"/>
  <c r="BS15" i="8"/>
  <c r="BS16" i="8"/>
  <c r="BS14" i="8"/>
  <c r="BS13" i="8"/>
  <c r="BS12" i="8"/>
  <c r="BS10" i="8"/>
  <c r="BS9" i="8"/>
  <c r="BS7" i="8"/>
  <c r="AA36" i="8"/>
  <c r="AA32" i="8"/>
  <c r="AA31" i="8"/>
  <c r="AA30" i="8"/>
  <c r="AA29" i="8"/>
  <c r="AA28" i="8"/>
  <c r="AA27" i="8"/>
  <c r="AA26" i="8"/>
  <c r="Y25" i="8"/>
  <c r="Y24" i="8"/>
  <c r="AA25" i="8"/>
  <c r="AA24" i="8"/>
  <c r="AA21" i="8"/>
  <c r="Y19" i="8"/>
  <c r="Y18" i="8"/>
  <c r="AA19" i="8"/>
  <c r="AA18" i="8"/>
  <c r="AA16" i="8"/>
  <c r="AA15" i="8"/>
  <c r="AA14" i="8"/>
  <c r="AA13" i="8"/>
  <c r="AA12" i="8"/>
  <c r="AA10" i="8"/>
  <c r="AA9" i="8"/>
  <c r="AA7" i="8"/>
  <c r="AA6" i="8"/>
  <c r="BS8" i="8"/>
  <c r="Y36" i="8"/>
  <c r="Y32" i="8"/>
  <c r="Y31" i="8"/>
  <c r="Y30" i="8"/>
  <c r="Y28" i="8"/>
  <c r="U28" i="8"/>
  <c r="Y27" i="8"/>
  <c r="Y14" i="8"/>
  <c r="Y13" i="8"/>
  <c r="Y12" i="8"/>
  <c r="Y11" i="8"/>
  <c r="Y10" i="8"/>
  <c r="Y9" i="8"/>
  <c r="Y7" i="8"/>
  <c r="AA34" i="8"/>
  <c r="AA33" i="8"/>
  <c r="Z13" i="8" l="1"/>
  <c r="Z26" i="8"/>
  <c r="Z9" i="8"/>
  <c r="Y34" i="8"/>
  <c r="Y33" i="8"/>
  <c r="CS17" i="8"/>
  <c r="CR17" i="8"/>
  <c r="CT17" i="8" l="1"/>
  <c r="Z33" i="8"/>
  <c r="T23" i="8"/>
  <c r="X23" i="8" s="1"/>
  <c r="T20" i="8"/>
  <c r="X20" i="8" s="1"/>
  <c r="AB20" i="8" s="1"/>
  <c r="AE20" i="8" s="1"/>
  <c r="T22" i="8"/>
  <c r="X22" i="8" s="1"/>
  <c r="AA22" i="8" s="1"/>
  <c r="T21" i="8"/>
  <c r="U21" i="8" s="1"/>
  <c r="BP33" i="8"/>
  <c r="BR33" i="8" s="1"/>
  <c r="BS33" i="8" l="1"/>
  <c r="BT33" i="8"/>
  <c r="AA23" i="8"/>
  <c r="AB23" i="8"/>
  <c r="AE23" i="8" s="1"/>
  <c r="AH23" i="8" s="1"/>
  <c r="Y20" i="8"/>
  <c r="Z20" i="8" s="1"/>
  <c r="AA20" i="8"/>
  <c r="AA8" i="8"/>
  <c r="Y8" i="8"/>
  <c r="Z6" i="8" s="1"/>
  <c r="CS37" i="8"/>
  <c r="CR37" i="8"/>
  <c r="AF20" i="8" l="1"/>
  <c r="BU33" i="8"/>
  <c r="CT37" i="8"/>
  <c r="AC20" i="8"/>
  <c r="AD20" i="8" s="1"/>
  <c r="AD37" i="8" s="1"/>
  <c r="W36" i="8"/>
  <c r="W35" i="8"/>
  <c r="W34" i="8"/>
  <c r="W33" i="8"/>
  <c r="AS33" i="8" s="1"/>
  <c r="W32" i="8"/>
  <c r="W31" i="8"/>
  <c r="W30" i="8"/>
  <c r="W29" i="8"/>
  <c r="W27" i="8"/>
  <c r="W26" i="8"/>
  <c r="W25" i="8"/>
  <c r="W24" i="8"/>
  <c r="W23" i="8"/>
  <c r="W22" i="8"/>
  <c r="W21" i="8"/>
  <c r="W20" i="8"/>
  <c r="W19" i="8"/>
  <c r="W18" i="8"/>
  <c r="W17" i="8"/>
  <c r="W16" i="8"/>
  <c r="W15" i="8"/>
  <c r="W14" i="8"/>
  <c r="W13" i="8"/>
  <c r="W12" i="8"/>
  <c r="W10" i="8"/>
  <c r="W9" i="8"/>
  <c r="W8" i="8"/>
  <c r="W7" i="8"/>
  <c r="AW6" i="8" s="1"/>
  <c r="W6" i="8"/>
  <c r="U36" i="8"/>
  <c r="U35" i="8"/>
  <c r="U34" i="8"/>
  <c r="U33" i="8"/>
  <c r="U32" i="8"/>
  <c r="U31" i="8"/>
  <c r="U30" i="8"/>
  <c r="U27" i="8"/>
  <c r="U26" i="8"/>
  <c r="U25" i="8"/>
  <c r="U24" i="8"/>
  <c r="U23" i="8"/>
  <c r="U22" i="8"/>
  <c r="U20" i="8"/>
  <c r="U19" i="8"/>
  <c r="U18" i="8"/>
  <c r="U14" i="8"/>
  <c r="U13" i="8"/>
  <c r="U12" i="8"/>
  <c r="U11" i="8"/>
  <c r="U10" i="8"/>
  <c r="U9" i="8"/>
  <c r="U8" i="8"/>
  <c r="U7" i="8"/>
  <c r="U6" i="8"/>
  <c r="AS26" i="8" l="1"/>
  <c r="AW26" i="8"/>
  <c r="AS15" i="8"/>
  <c r="AW15" i="8"/>
  <c r="AS9" i="8"/>
  <c r="AW9" i="8"/>
  <c r="AW20" i="8"/>
  <c r="AS13" i="8"/>
  <c r="AW13" i="8"/>
  <c r="AS6" i="8"/>
  <c r="AS20" i="8"/>
  <c r="V15" i="8"/>
  <c r="AG20" i="8"/>
  <c r="AG37" i="8" s="1"/>
  <c r="V26" i="8"/>
  <c r="V13" i="8"/>
  <c r="V33" i="8"/>
  <c r="V20" i="8"/>
  <c r="V9" i="8"/>
  <c r="V6" i="8"/>
  <c r="AW37" i="8" l="1"/>
  <c r="AS37" i="8"/>
  <c r="V37" i="8"/>
  <c r="BQ17" i="8"/>
  <c r="BQ16" i="8"/>
  <c r="BQ29" i="8" l="1"/>
  <c r="BQ23" i="8"/>
  <c r="BQ22" i="8"/>
  <c r="BQ21" i="8"/>
  <c r="BQ36" i="8"/>
  <c r="BQ35" i="8"/>
  <c r="BQ34" i="8"/>
  <c r="BQ33" i="8"/>
  <c r="BQ32" i="8"/>
  <c r="BQ31" i="8"/>
  <c r="BQ30" i="8"/>
  <c r="BQ28" i="8"/>
  <c r="CG37" i="8" s="1"/>
  <c r="BQ27" i="8"/>
  <c r="BQ26" i="8"/>
  <c r="BQ25" i="8"/>
  <c r="BQ24" i="8"/>
  <c r="BQ20" i="8"/>
  <c r="BQ19" i="8"/>
  <c r="BQ18" i="8"/>
  <c r="BQ15" i="8"/>
  <c r="BQ14" i="8"/>
  <c r="BQ13" i="8"/>
  <c r="BQ12" i="8"/>
  <c r="BQ10" i="8"/>
  <c r="BQ9" i="8"/>
  <c r="BQ8" i="8"/>
  <c r="BQ7" i="8"/>
  <c r="BQ6" i="8"/>
  <c r="CE37" i="8" l="1"/>
  <c r="F26" i="8"/>
  <c r="F33" i="8"/>
  <c r="K33" i="8" s="1"/>
  <c r="F21" i="8"/>
  <c r="F20" i="8"/>
  <c r="M15" i="8" s="1"/>
  <c r="F13" i="8"/>
  <c r="F9" i="8"/>
  <c r="F6" i="8"/>
  <c r="M6" i="8" s="1"/>
  <c r="R11" i="8"/>
  <c r="BJ11" i="8" s="1"/>
  <c r="BB11" i="8" l="1"/>
  <c r="BF11" i="8"/>
  <c r="J6" i="8"/>
  <c r="J26" i="8" s="1"/>
  <c r="K6" i="8"/>
  <c r="L6" i="8"/>
  <c r="J15" i="8"/>
  <c r="J20" i="8" s="1"/>
  <c r="K15" i="8"/>
  <c r="K20" i="8" s="1"/>
  <c r="I33" i="8"/>
  <c r="J33" i="8"/>
  <c r="AT11" i="8"/>
  <c r="AX11" i="8"/>
  <c r="H6" i="8"/>
  <c r="I6" i="8"/>
  <c r="H15" i="8"/>
  <c r="I15" i="8"/>
  <c r="G33" i="8"/>
  <c r="AL11" i="8"/>
  <c r="AP11" i="8"/>
  <c r="BY37" i="8"/>
  <c r="AH11" i="8"/>
  <c r="BW11" i="8"/>
  <c r="BW37" i="8" s="1"/>
  <c r="BU11" i="8"/>
  <c r="BU37" i="8" s="1"/>
  <c r="BS11" i="8"/>
  <c r="BS37" i="8" s="1"/>
  <c r="W11" i="8"/>
  <c r="AA11" i="8"/>
  <c r="BQ11" i="8"/>
  <c r="BQ37" i="8" s="1"/>
  <c r="Z15" i="8"/>
  <c r="Z37" i="8" s="1"/>
  <c r="J9" i="8" l="1"/>
  <c r="J13" i="8" s="1"/>
</calcChain>
</file>

<file path=xl/sharedStrings.xml><?xml version="1.0" encoding="utf-8"?>
<sst xmlns="http://schemas.openxmlformats.org/spreadsheetml/2006/main" count="668" uniqueCount="545">
  <si>
    <t>PROYECTO</t>
  </si>
  <si>
    <t>Objetivo del proyecto</t>
  </si>
  <si>
    <t>ACTIVIDADES DE PROYECTO</t>
  </si>
  <si>
    <t xml:space="preserve">Fecha de inicio </t>
  </si>
  <si>
    <t xml:space="preserve">Fecha de Terminación </t>
  </si>
  <si>
    <t xml:space="preserve">DEPENDENCIA RESPONSABLE </t>
  </si>
  <si>
    <t>NOMBRE DEL RESPONSABLE</t>
  </si>
  <si>
    <t>Disminuir el riesgo de enfermedades crónicas no transmisibles en la comunidad cartagenera</t>
  </si>
  <si>
    <t>PILAR</t>
  </si>
  <si>
    <t>LINEA ESTRATEGICA</t>
  </si>
  <si>
    <t>Indicador de Bienestar</t>
  </si>
  <si>
    <t>Línea Base 2019</t>
  </si>
  <si>
    <t>Meta de Bienestar 2020-2023</t>
  </si>
  <si>
    <t>Indicador de Producto</t>
  </si>
  <si>
    <t>Descripción de la Meta Producto 2020-2023</t>
  </si>
  <si>
    <t>Valor Absoluto de la Meta Producto 2020-2023</t>
  </si>
  <si>
    <t>Porcentaje de la población cartagenera vinculada a la actividad física y eventos recreativos.</t>
  </si>
  <si>
    <t>Número de participantes vinculados a la actividad física.</t>
  </si>
  <si>
    <t xml:space="preserve">Mejoramiento de los estilos de vida mediante la promoción masiva de una vida activa de la ciudadanía en el Distirto de Cartagena </t>
  </si>
  <si>
    <t>Código de proyecto BPIN</t>
  </si>
  <si>
    <t>Aumentar la concientización sobre la práctica regular de actividad física en los entornos cotidianos</t>
  </si>
  <si>
    <t>Transformación de hábitos para la generación de Entornos saludables en el Distrito de Cartagena de Indias</t>
  </si>
  <si>
    <t>Número de Niños, niñas y adolescentes inscritos en la Escuela de Iniciación y Formación Deportiva</t>
  </si>
  <si>
    <t>Desarrollar de forma continua el proceso de aprendizaje deportivo en los niños, niñas y adolescentes en Cartagena de Indias</t>
  </si>
  <si>
    <t>Consolidación del sistema Deportivo Distrital mediante una estrategia de estímulos y/o apoyos a las organizaciones deportivas y deportistas de altos logros</t>
  </si>
  <si>
    <t>Consolidar el Sistema de Deporte Competitivo y Asociado del Distrito de Cartagena de Indias.</t>
  </si>
  <si>
    <t xml:space="preserve">Número de semilleros de investigación </t>
  </si>
  <si>
    <t xml:space="preserve">Incremetar la producción de conocimiento científico del sector deportivo y recreativo en el Distrito Cartagena de Indias. </t>
  </si>
  <si>
    <t xml:space="preserve">Número de participantes en los torneos del deporte estudiantil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</si>
  <si>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</si>
  <si>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</si>
  <si>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Implemetanción del programa nacional "Campamentos Juveniles" en el Distrito de Cartagena de Indias.</t>
  </si>
  <si>
    <t>Porcentaje de la población cartagenera que hace uso y disfrute de los escenarios deportivos y recreativos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</si>
  <si>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</si>
  <si>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</si>
  <si>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Número de permisos autorizados para el uso temporal y/o permanente de los escenarios deportivos.</t>
  </si>
  <si>
    <t>INCLUYENTE</t>
  </si>
  <si>
    <t xml:space="preserve">DEPORTE Y RECREACIÓN CON INCLUISIÓN SOCIAL PARA LA TRASNFORMACIÓN SOCIAL </t>
  </si>
  <si>
    <t>LA ESCUELA Y EL DEPORTE SON DE TODOS</t>
  </si>
  <si>
    <t>Porcentaje de la población cartagenera vinculadas a las actividades y eventos deportivos, pre deportivos y paralímpicos.</t>
  </si>
  <si>
    <t>Se incrementará a 5.400 niñas, niños, adolescentes inscritos en los diversos niveles de iniciación y formación</t>
  </si>
  <si>
    <t xml:space="preserve">Se mantendrán en 10.176 los participantes en los diferentes torneos de las instituciones educativas y las universidades </t>
  </si>
  <si>
    <t>DEPORTE ASOCIADO “INCENTIVOS CON-SENTIDO”</t>
  </si>
  <si>
    <t>Se otorgarán 400 estímulos y/o apoyos a las ligas, clubes, federaciones y otras organizaciones deportivas</t>
  </si>
  <si>
    <t>Número de estímulos y/o apoyos otorgados a ligas, clubes, federaciones y otras organizaciones deportivas</t>
  </si>
  <si>
    <t>Se impactarán 4.000 personas con los estímulos y/o apoyos otorgados a las ligas, clubes, federaciones y otras organizaciones deportivas</t>
  </si>
  <si>
    <t>Número de personas impactadas de los estímulos y/o apoyos otorgados a ligas, clubes, federaciones y otras organizaciones deportivas</t>
  </si>
  <si>
    <t>Número de estímulos y/o apoyos otorgados a deportistas de altos logros, futuras estrellas y Viejas Glorias del Deporte convencional y paralímpico</t>
  </si>
  <si>
    <t>Se apoyarán 20 eventos deportivos de carácter regional,  nacional e internacional a realizarse en el Distrito de Cartagena de Indias</t>
  </si>
  <si>
    <t xml:space="preserve">Número de eventos de carácter regional, nacional e internacional realizados y/o apoyados </t>
  </si>
  <si>
    <t>DEPORTE SOCIAL COMUNITARIO CON INCLUSIÓN “CARTAGENA INCLUYENTE”</t>
  </si>
  <si>
    <t>Se incrementarán a 120.000 los participantes en el desarrollo de eventos o torneos de deporte social comunitario con inclusión</t>
  </si>
  <si>
    <t xml:space="preserve">Número de participantes en los eventos o torneos de deporte social comunitario con inclusión </t>
  </si>
  <si>
    <t>Se realizarán 15 eventos o torneos de deporte social comunitario con inclusión dirigidos a la comunidad</t>
  </si>
  <si>
    <t>Número de eventos o torneos de deporte social comunitario con inclusión realizados y/o apoyados</t>
  </si>
  <si>
    <t xml:space="preserve">OBSERVATORIO DE CIENCIAS APLICADAS AL DEPORTE, LA RECREACIÓN, LA ACTIVIDAD FÍSICA Y EL APROVECHAMIENTO DEL TIEMPO LIBRE EN EL DISTRITO DE CARTAGENA DE INDIAS </t>
  </si>
  <si>
    <t>Se publicarán 4 documentos históricos y científicos sobre el deporte, la recreación, la actividad física y el aprovechamiento del tiempo libre en el Distrito de Cartagena de Indias</t>
  </si>
  <si>
    <t>Número de documentos elaborados y publicados</t>
  </si>
  <si>
    <t>Se incrementará a 16.720 personas con apropiación social de conocimiento</t>
  </si>
  <si>
    <t>Número de personas con apropiación social de conocimiento.</t>
  </si>
  <si>
    <t>Se caracterizarán 10 piezas con todos los documentos e investigaciones científicas existentes de memoria histórica del deporte</t>
  </si>
  <si>
    <t xml:space="preserve">Número de piezas de Memoria Histórica del Deporte Cartagenero caracterizadas </t>
  </si>
  <si>
    <t>Se conformará y organizará 1 semillero de investigación científica deportiva</t>
  </si>
  <si>
    <t>Se realizarán 10 convenios institucionales para la generación y apropiación social del conocimiento</t>
  </si>
  <si>
    <t>Número de alianzas y convenios para la generación y apropiación social del conocimiento</t>
  </si>
  <si>
    <t xml:space="preserve">PROGRAMA HÁBITOS Y ESTILOS DE VIDA SALUDABLE </t>
  </si>
  <si>
    <t>Se incrementarán a 14.131 los participantes vinculados a la actividad física.</t>
  </si>
  <si>
    <t>Se incrementarán a 19.448 los asistentes a los eventos de hábitos y estilos de vida saludable dirigidos a todas las edades</t>
  </si>
  <si>
    <t xml:space="preserve">Número de asistentes a los eventos de hábitos y estilos de vida saludable de carácter local, nacional e internacional realizados y/o apoyados </t>
  </si>
  <si>
    <t xml:space="preserve">Se realizarán 18 eventos de hábitos y estilos de vida saludable dirigidos a todas las edades </t>
  </si>
  <si>
    <t xml:space="preserve">Número de eventos de hábitos y estilos de vida saludable de carácter local, nacional e internacional realizados y/o apoyados </t>
  </si>
  <si>
    <t xml:space="preserve">PROGRAMA RECREACIÓN COMUNITARIA “RECRÉATE CARTAGENA” </t>
  </si>
  <si>
    <t>Se atenderán a 24.984 participantes de las actividades recreativas en el Distrito de Cartagena de Indias.</t>
  </si>
  <si>
    <t xml:space="preserve">Número de participantes en las actividades de recreación comunitaria </t>
  </si>
  <si>
    <t>Se incrementarán a 22.999 los asistentes a los eventos de recreación comunitaria dirigidos a todas las edades</t>
  </si>
  <si>
    <t>Número de asistentes a los eventos de recreación de carácter local, nacional e internacional realizados y/o apoyados</t>
  </si>
  <si>
    <t xml:space="preserve">Se realizarán 17 eventos de recreación comunitaria dirigidos a todas las edades </t>
  </si>
  <si>
    <t xml:space="preserve">Número de eventos de recreación de carácter local, nacional e internacional realizados y/o apoyados </t>
  </si>
  <si>
    <t xml:space="preserve">ADMINISTRACIÓN, MANTENIMIENTO, ADECUACIÓN, MEJORAMIENTO Y CONSTRUCCIÓN DE ESCENARIOS DEPORTIVOS  </t>
  </si>
  <si>
    <t>Se autorizarán 2.400 permisos para el uso temporal y/o permanente de los escenarios deportivos.</t>
  </si>
  <si>
    <t>Se impactarán a 209.842 personas en el uso y disfrute de los escenarios deportivos y recreativos</t>
  </si>
  <si>
    <t>Número de personas que hace uso y disfrute de los escenarios deportivos y recreativos</t>
  </si>
  <si>
    <t xml:space="preserve">Se incrementará a 110 los escenarios deportivos mantenidos, adecuados, y/o mejorados en el distrito de Cartagena de Indias  </t>
  </si>
  <si>
    <t xml:space="preserve">Número de escenarios deportivos mantenidos, adecuados, y/o mejorados en el distrito de Cartagena de Indias  </t>
  </si>
  <si>
    <t xml:space="preserve">Se desarrollará la construcción de 10 escenarios deportivos en el Distrito de Cartagena de Indias </t>
  </si>
  <si>
    <t xml:space="preserve">Número de escenarios deportivos construidos  </t>
  </si>
  <si>
    <t xml:space="preserve">Deportes </t>
  </si>
  <si>
    <t>Realizar campañas de socialización y difusión de la estrategia "juegos intercolegiados" con las Instituciones Educativas 
Desarrollar jornadas de inscripción de las Instituciones Educativas en los juegos intercolegiados
Acompañar el proceso de socialización y desarrollo de los juegos interuniversitarios 
Divulgar las acciones y actividades desarrolladas en el proyecto
Divulgar el calendario deportivo distrital de los juegos intercolegiados
Programar las competencias deportivas de los juegos intercolegiados del distrito
Realizar las competencias deportivas de los juegos intercolegiados del distrito
Acompañar el desarrollo de las competencias de los juegos interuniversitarios 
Entregar la premiación a los ganadores de las competencias deportivas distritales
Patrocinar participación de equipos campeones en competencias departamentales</t>
  </si>
  <si>
    <t xml:space="preserve">Gustavo  González </t>
  </si>
  <si>
    <t>Aplicación de la Ciencia, la Tecnología y la Innovación (CTeI) en el sector deporte en el distrito de Cartagena de Indias</t>
  </si>
  <si>
    <t xml:space="preserve">Divulgación, Apropiación de conocimiento y participación ciudadana en el sector deporte, del Distrito de Cartagena de Indias  </t>
  </si>
  <si>
    <t>Recopilación de la memoria histórica del deporte cartagenero y bolivarense.</t>
  </si>
  <si>
    <t xml:space="preserve">Observatorio </t>
  </si>
  <si>
    <t xml:space="preserve">Jose Guillermo Torres </t>
  </si>
  <si>
    <t xml:space="preserve">Recreación </t>
  </si>
  <si>
    <t xml:space="preserve">Alberto Osorio </t>
  </si>
  <si>
    <t>31 de diciembre de 2023</t>
  </si>
  <si>
    <t xml:space="preserve">Aprovechamiento del espacio público para la realización de Eventos Recreativos que permitan la cohesión comunitaria. </t>
  </si>
  <si>
    <t>Aumentar la habilitación de espacios públicos para el desarrollo de actividades de recreación en el Distrito de Cartagena de Indias</t>
  </si>
  <si>
    <t>Implementación de la estrategia "Escuela Recreativa" para fortalecer las capacidades emocionales y motrices de la primera infancia.</t>
  </si>
  <si>
    <t>Implementar estrategias de desarrollo integral desde la recreación dirigidas a los adolescentes y jóvenes en el Distrito de Cartagena de Indias</t>
  </si>
  <si>
    <t xml:space="preserve">Recreación para todos, como mecanismo para la cohesión comunitaria mediante el aprovechamiento y uso del tiempo libre. </t>
  </si>
  <si>
    <t>Realizar capacitaciones a las madres comunitarias y agentes educativas en talleres de elaboración de juguetes y juegos, Asesorar en competencias dirigidas a las madres comunitarias y agentes educativas a través de asesoría de hábitos y estilos de vida saludable, Desarrollar Talleres a padres de familias o cuidadores sobre temas nutricionales y pautas de crianza amorosa,Adelantar las campañas (cuentos que no son cuentos), caminata por la lactancia materna, promoción semana de la salud en la primera infancia, Desarrollar la sesión lúdica permanente a la población de primera infancia con actividades rectoras, Realizar Carnavales Lúdicos, Ejecutar un encuentro actívate gestante a través de estimulación materno-infantil, Desarrollar talleres sobre el cuidado, hábitos de vida saludable y estimulación temprana, Divulgar las acciones y actividades desarrolladas en el proyecto</t>
  </si>
  <si>
    <t>Implementar acciones para el desarrollo de las habilidades y destrezas psicomotrices y sociales de los niños de menores de seis años en la zona rural del Distrito de Cartagena de Indias</t>
  </si>
  <si>
    <t>Desarrollar jornadas de sensibilización a organizaciones públicas y privadas, Realizar valoración y seguimiento a organizaciones públicas y privadas, Desarrollar jornadas de sensibilización a centros penitenciarios y carcelarios, Realizar valoración y seguimiento a centros penitenciarios y carcelarios, Desarrollar jornadas de sensibilización a centros de vida y/o grupos organizados de personas mayores, Realizar valoración y seguimiento a centros de vida y/o grupos organizados de personas mayores, Asesorar a organizaciones públicas y privadas, Ejecutar jornadas recreo-deportivas en organizaciones públicas y privadas, Realizar charlas a centros penitenciarios y carcelarios, Asesorar a los centros de vida y/o grupos organizados de personas mayores, Ejecutar jornadas recreo-deportivas en centros de vida y/o grupos organizados de personas mayores, Divulgar las acciones y actividades desarrolladas en el proyecto, Realizar campañas de los días de concientización de la salud, Acondicionar el espacio físico para el desarrollo de actividad física en el Centro de Acondicionamiento Físico - CAF</t>
  </si>
  <si>
    <t>Realizar evaluación y diagnóstico de enfoques (caminantes, madrúgale, noches y joven),Programar la intervención territorial y comunitaria, Diseñar e implementar los protocolos de intervención territorial y comunitaria, Desarrollar las acciones de la estrategia "Madrúgale a la Salud",Desarrollar las acciones de la estrategia "Caminante Saludable", Desarrollar las acciones de la estrategia "Noches Saludables", Desarrollar las acciones de la estrategia "Joven Saludable", Diseñar e implementar el semillero de actividad física, Desarrollar eventos de concentración,Desarrollar eventos de promoción, Planear la realización de eventos de ciudad, Desarrollar eventos de ciudad, Diseñar e implementar un plan de capacitación sobre actividad física, Divulgar las acciones de las estrategias y eventos realizadas.</t>
  </si>
  <si>
    <t>Desarrollar el módulo estratégico de proyecto de vida ,Ejecutar actividades con escuela para padres sobre hábitos de buena crianza,Convocatoria, socialización e inscripción a los bosques establecidos , Desarrollo del programa y la totalidad de los ejes temáticos de campamentos juveniles , Planear y realizar los campamentos distritales, Participar en los campamentos departamentales, Participar en los campamentos nacionales, Generar capacidades o habilidades de conocimiento para el servicio social , Elaboración de proyectos para la implementación en las comunidades, Divulgar las acciones y actividades desarrolladas en el proyecto.</t>
  </si>
  <si>
    <t>Realizar la estrategia "vías recreativas en tu barrio", Ejecutar la estrategia Playas recreativas, Realizar las Vías Activas y Saludables - VAS, Participar en los comités de espacio público,Generar una mesa del aprovechamiento del espacio público para la recreación, Participar en el comité probici, Planear y realizar Eventos Recreativos con impacto de ciudad, Realizar ciclopaseos urbanos y rurales, Divulgar las acciones y actividades desarrolladas en el proyecto.</t>
  </si>
  <si>
    <t xml:space="preserve">Crear la red de conocimiento científico del sector deporte, Generar alianzas para la producción de conocimiento científico sobre el sector deporte,Crear el semillero de investigación sobre el sector deporte, Producir artículos científico - histórico asociados al sector deporte, Publicar artículos científico - histórico asociados al sector deporte, Divulgar las acciones y actividades desarrolladas en el proyecto, Desarrollar encuentros científicos </t>
  </si>
  <si>
    <t>Aumentar la interacción social a través de la práctica de la recreación en el tiempo libre</t>
  </si>
  <si>
    <t>DESARROLLO DE LA ESCUELA DE INICIACION Y FORMACION DEPORTIVA</t>
  </si>
  <si>
    <t>Implementar el nivel 1: Iniciación Deportiva
Implementar el nivel 2: Formación Deportiva
Implementar el nivel 3: Enfasis Deportivo
Implementar el nivel 4: Perfeccionamiento Deportivo
Aumentar el número de núcleos de atención en los niveles 1 y 2 de iniciación y formación deportiva
Sistematizar la vinculación de los niños, niñas y adolescentes pertenecientes a la Escuela de Formación Deportiva
Realizar acompañamiento psicosocial a los niños, niñas, adolescentes y padres pertenecientes a la Escuela de Formación Deportiva
Divulgar las acciones y actividades desarrolladas en el proyecto
Adquirir los elementos y herramientas necesarios para el desarrollo de los niveles 1 y 2 de iniciación y formación deportiva
Adquirir los elementos y herramientas necesarios para el desarrollo del nivel 3 de enfasis deportivo
Adquirir los elementos y herramientas necesarios para el desarrollo del nivel 4 de perfeccionamiento deportivo
Realizar encuentros deportivos para la participación de los niños, niñas y adolescentes pertenecientes a la Escuela de Formación Deportiva</t>
  </si>
  <si>
    <t>FORTALECIMIENTO DEL DEPORTE ESTUDIANTIL</t>
  </si>
  <si>
    <t>Realizar convocatoria para entrega de estímulos a deportistas convencionales y no convencionales
Realizar la entrega y seguimiento de los estímulos a deportistas convencionales y no convencionales
Divulgar las acciones de los deportivas y organizaciones deportivas realizadas 
Apoyar eventos deportivos de carácter regional, nacional e internacional
Realizar convocatoria para entrega de estímulos a organismos deportivos 
Realizar la entrega y seguimiento de los estímulos a organismos deportivos
Brindar asesorías a los organismos deportivos para el reconocimiento y estructuración
Crear plataforma de organizaciones deportivas
Realizar un encuentro donde participen las organizaciones deportivas</t>
  </si>
  <si>
    <t>31 de diciembre de 2020</t>
  </si>
  <si>
    <t>MEJORAMIENTO DE LOS ESTILOS DE VIDA</t>
  </si>
  <si>
    <t>Realizar manuales operativos y administrativos para el uso de los escenarios deportivos
Caracterizar los escenarios (unidades) deportivos 
Socializar y divulgar el uso adecuado de los escenarios deportivos a todos los usuarios y beneficiarios
Divulgar las acciones y actividades desarrolladas en el proyecto
Disponer los escenarios deportivos para el uso de la comunidad
Realizar un plan general de mantenimiento de los escenarios deportivos
Intervenir de manera preventiva, correctiva, programada y predictiva los escenarios deportivos
Garantizar el continuo uso y disfrute de los escenarios
Administrar el uso y préstamo de los escenarios a la comunidad
Realizar revisión y verificación del funcionamiento de los escenarios deportivos</t>
  </si>
  <si>
    <t>PROGRAMACIÓN META A 2021</t>
  </si>
  <si>
    <t>PROGRAMA</t>
  </si>
  <si>
    <t>META PROYECTO 2021</t>
  </si>
  <si>
    <t>FUENTE DE FINANCIACIÓN</t>
  </si>
  <si>
    <t>Incrementar a 54 los núcleos para masificar la práctica del deporte en las comunidades del Distrito de Cartagena de Indias</t>
  </si>
  <si>
    <t>Tasa prodeporte y recreacion 
SGP  Proposito general - deportes
ICAT 3%</t>
  </si>
  <si>
    <t>Se otorgarán estímulos y/o apoyos a 576 atletas de altos logros, futuras estrellas y viejas glorias del deporte convencional y paralímpico</t>
  </si>
  <si>
    <t xml:space="preserve">Integración Comunitaria a través del  Deporte como Herramienta para la inclusión Social desde los diferentes enfoques Poblacionales. </t>
  </si>
  <si>
    <t xml:space="preserve">Modernización del Centro de Acondicionamiento físico - CAF del distrito de Cartagena de Indias </t>
  </si>
  <si>
    <t xml:space="preserve">Infraestructura 
Administrativa y Financiera </t>
  </si>
  <si>
    <t>Ismael Sanchez 
María C. Carballo</t>
  </si>
  <si>
    <t xml:space="preserve">CONSOLIDACION DEL SISTEMA DEPORTIVO DISTRITAL </t>
  </si>
  <si>
    <t>INTEGRACION COMUNITARIA A TRAVES DEL  DEPORTE</t>
  </si>
  <si>
    <t>TRANSFORMACION DE HABITOS PARA LA GENERACION DE ENTORNOS SALUDABLES EN EL DISTRITO DE CARTAGENA DE INDIAS</t>
  </si>
  <si>
    <t>MODERNIZACIÓN DEL CAF</t>
  </si>
  <si>
    <t>IMPLEMENTACION DE LA ESTRATEGIA  ESCUELA RECREATIVA</t>
  </si>
  <si>
    <t>IMPLEMENTACION DEL PROGRAMA NACIONAL  CAMPAMENTOS JUVENILES  EN EL DISTRITO DE CARTAGENA</t>
  </si>
  <si>
    <t>APROVECHAMIENTO DEL ESPACIO PUBLICO PARA LA REALIZACION DE EVENTOS RECREATIVOS QUE PERMITAN LA COHESION COMUNITARIA</t>
  </si>
  <si>
    <t>RECREACION PARA TODOS, COMO MECANISMO PARA LA COHESION COMUNITARIA MEDIANTE EL APROVECHAMIENTO Y USO DEL TIEMPO LIBRE</t>
  </si>
  <si>
    <t>APLICACION DE LA CIENCIA, LA TECNOLOGIA Y LA INNOVACION (CTEI) EN EL SECTOR DEPORTE EN EL DISTRITO DE CARTAGENA DE INDIAS</t>
  </si>
  <si>
    <t xml:space="preserve">DIVULGACION, APROPIACION DE CONOCIMIENTO Y PARTICIPACION CIUDADANA EN EL SECTOR DEPORTE, DEL DISTRITO DE CARTAGENA DE INDIAS </t>
  </si>
  <si>
    <t>RECOPILACION DE LA MEMORIA HISTORICA DEL DEPORTE CARTAGENERO Y BOLIVARENSE</t>
  </si>
  <si>
    <t>CONSERVACION, MANTENIMIENTO Y MEJORAMIENTO DE LOS ESCENARIOS DEPORTIVOS DE LA CIUDAD</t>
  </si>
  <si>
    <t>Realizar campañas de divulgación asociadas a la recreación
Realizar talleres de técnicas de recreación
Realizar actividades de recreación en los centros de vida y grupos organizados de personas mayores
Realizar actividades de recreación en las Instituciones Educativas, grupos organizados de adolescentes y jóvenes, Hogares Comunitarios y/o CDI
Apoyar el desarrollo de actividades de recreación a nivel distrital 
Desarrollar la estrategia "Vacaciones Recreativas"
Desarrollar la estrategia "Cartagena es de los niños y niñas"
Desarrollar la estrategia "Persona Mayor - Un nuevo comienzo"
Divulgar las acciones y actividades desarrolladas en el proyecto</t>
  </si>
  <si>
    <t>Mejorar los Procesos de Apropiación Social del Conocimiento en el Sector del Deporte, la Recreación, la Actividad Física y el  Aprovechamiento del Tiempo Libre  en el Distrito de Cartagena de Indias.</t>
  </si>
  <si>
    <t>Generar alianzas con el SENA para fortalecer la formación técnica y tecnológa
Generar alianzas con Instituciones de Educación Superior para la formación profesional a través de la consecución de becas
Promover la participación en seminarios sobre el sector deporte a nivel local, regional, nacional e internacional
Realizar ciclo de conferencias, charlas, cursos complementarios, encuentros ciudadanos, entre otros espacios de intercambio de conocimiento del sector deporte
Fomentar la participación ciudadana en espacios de intercambio de conocimiento del sector deporte
Divulgar las acciones y actividades desarrolladas en el proyecto</t>
  </si>
  <si>
    <t>Rescatar el patrimonio material e inmaterial deportivo del Distrito de Cartagena de Indias y el departamento de Bolívar.</t>
  </si>
  <si>
    <t>Realizar diagnóstico y valoración inicial de la trayectoria del sector deporte
Diseñar protocolo de identificación del patrimonio deportivo en Cartagena y Bolívar
Implementar el protocolo de identificación para la caracterización del patrimonio deportivo en Cartagena y Bolívar
Adoptar el método y lugar de conservación y preservación del acervo deportivo
Instalar la composición de las piezas de memoria del acervo deportivo
Crear muestra piloto de museo itinerante 
Desarrollar coloquios alrededor de las piezas de memoria del acervo deportivo
Divulgar las acciones y actividades desarrolladas en el proyecto</t>
  </si>
  <si>
    <t>NOMBRE DEL RUBRO</t>
  </si>
  <si>
    <t>Tasa Pro deporte y recreación 
ICAT 3%</t>
  </si>
  <si>
    <t>Tasa Pro deporte y recreación 
SGP  Propósito General - Deportes
ICAT 3%</t>
  </si>
  <si>
    <t>Tasa Pro deporte y recreación 
Arrendamiento escenarios deportivos
SGP  Propósito General - Deportes
ICAT 3%
Rendimientos financieros icat 3%</t>
  </si>
  <si>
    <t>Tasa Prodeporte y recreación 
Arrendamiento escenarios deportivos</t>
  </si>
  <si>
    <t xml:space="preserve">Tasa pro deporte y recreación </t>
  </si>
  <si>
    <t>SGP  Propósito general - Deportes
Tasa Pro deporte y recreación 
ICAT 3%</t>
  </si>
  <si>
    <t xml:space="preserve">Tasa prodeporte y recreación </t>
  </si>
  <si>
    <t>SGP  Propósito General - Deportes
Tasa Pro deporte y recreación 
ICAT 3%</t>
  </si>
  <si>
    <t>Rendimientos financieros - ider
Espetáculos públicos - ider
Tasa Pro deporte y recreación 
ICAT 3%</t>
  </si>
  <si>
    <t>Tasa Pro deporte y recreación 
Arrendamiento escenarios deportivos</t>
  </si>
  <si>
    <t>Rendimientos financieros - ider
Tasa Pro deporte y recreación 
Espectáculos públicos - ider
Venta de servicios - ider</t>
  </si>
  <si>
    <t>Tasa Pro deporte y recreación 
Arrendamiento escenarios deportivos
SGP  Propósito General - Deportes
Rendimientos financieros SGP Propósito General 
ICAT 3%</t>
  </si>
  <si>
    <t>31 de diciembre de 2021</t>
  </si>
  <si>
    <t>31 diciembre de 2021</t>
  </si>
  <si>
    <t>1 de febrero de 2021</t>
  </si>
  <si>
    <t xml:space="preserve">Número de Planes Institucionales y estrategicos articulados al Plan de Acción del 2020 del IDER  </t>
  </si>
  <si>
    <t xml:space="preserve">Se Integrarán los planes institucionales y estrategicos al Plan de Acción (Decreto No. 612 del 2018 ) </t>
  </si>
  <si>
    <t xml:space="preserve">Decreto No. 612 del 2018 </t>
  </si>
  <si>
    <t>N/A</t>
  </si>
  <si>
    <t xml:space="preserve">Articular los planes del Decreto No. 612 del 2018 al Plan de Acción </t>
  </si>
  <si>
    <t xml:space="preserve">25 de Enero de 2021  </t>
  </si>
  <si>
    <t xml:space="preserve">Dirección Administrativa y Financiera y Oficina Asesora de Planeación </t>
  </si>
  <si>
    <t xml:space="preserve">Maria Carolina Carballo -Luz Alcira Ortega Martínez </t>
  </si>
  <si>
    <t>Elaborar los doce (12 ) planes  como lo son: Plan Institucional de Archivos-PINAR, Plan Anual de Adquisiones , Plan Anual de Vacantes, Plan de Previsión de Recursos Humanos , Plan Estratégico de Talento Humano , Plan Institucional de Capacitación, Plan de Incentivos  Institucionales , Plan de Trabajo Anual en Seguridad y Salud en el Trabajo, Plan de Anticorrupción y de Atención al Ciudadano, Plan Estrátegico de Técnologias de la Información y las Comunicaciones-PETI, Plan de Tratamiento de Riesgos de Seguridad y Privacidad de la Información, Plan de Seguridad y Privacidad de la información.</t>
  </si>
  <si>
    <t>REPORTE META PRODUCTO  ENERO -FEBRERO  2021</t>
  </si>
  <si>
    <t xml:space="preserve">%de avance Enero - Febrero Meta año 2021 </t>
  </si>
  <si>
    <t>% de avance del programa a 20 se Febrero  2021</t>
  </si>
  <si>
    <t xml:space="preserve">DECRETO No. 612 DEL 2018 </t>
  </si>
  <si>
    <t>Realizar campañas informativas sobre el deporte social ante la comunidad, Difundir la reglamentación y estrategia para la creación de organizaciones deportivas, Divulgar las acciones y actividades desarrolladas en el proyecto, Realizar el torneo de los juegos corregimentales, Realizar el torneo de los juegos comunales, Realizar el torneo de los juegos afro, raizales, negros y palenqueros, Realizar el torneo de los juegos indígenas, Realizar el torneo de los juegos carcelarios, Realizar el torneo de los juegos de personas en situación de discapacidad, Adquirir la dotación e implementación requerida para el desarrollo de los torneos, Disponer de la logística para cada uno de los torneos.</t>
  </si>
  <si>
    <t>Integrar a las comunidades a través del deporte social comunitario en el Distrito de
Cartagena de Indias</t>
  </si>
  <si>
    <t>Mejorar las condiciones para el funcionamiento del centro de acondicionamiento físico -
CAF en el Distrito de Cartagena de Indias</t>
  </si>
  <si>
    <t>Realizar un plan de adquisiciones de elementos, maquinaria y equipo, Contratar suministro de elementos, maquinaria y equipo, Mantener preventiva y/o correctivamente los elementos, maquinaria y equipo, Adecuar los espacios físicos para el desarrollo de las actividades dentro del CAF, Realizar valoración y prueba física de los usuarios, Diseñar plan de entrenamiento personalizado para los usuarios, Hacer seguimiento y evaluación del proceso de acondicionamiento físico</t>
  </si>
  <si>
    <t xml:space="preserve">2021130010010
</t>
  </si>
  <si>
    <t xml:space="preserve">2021130010011
</t>
  </si>
  <si>
    <t>REPORTE EJECUCIÓN PRESUPUESTAL -FEBRERO  2021</t>
  </si>
  <si>
    <t xml:space="preserve">Se formuló y aprobó el proyecto de Modernización del CAF , por la Secretaria de Planeación Distrital </t>
  </si>
  <si>
    <t>Este proyecto fue presentado a planeación distrital y aprobado por esta el día 19 de Febrero de 2021, el objetivo es mejorar significativamente la baja cohesión comunitaria a través del deporte y la recreación, que se ha visto afectada por la  Fragmentación comunitaria debido a la poca práctica del deporte y la recreación, baja participación de la población en las actividades deportivas y recreativas, lo cual nos demuestra el poco interés de nuestra población en las actividades deportivas y recreativas, lo cual nos lleva a motivar a la población para que se unan a las prácticas deportivas y recreativas, dándoles a conocer la importancia del deporte y la recreación en nuestra vida.
Durante el periodo que comprende este informe (1 enero al 20 de febrero de 2021), hemos estado realizando las siguientes actividades como la formulación del programa Deporte Social Comunitario, se hicieron los diferentes presupuestos y los cronogramas de actividades de cada uno de los proyectos que comprenden el programa, se realizo una reunión con el personal de infraestructura del IDER, con la finalidad de programar para el mes de febrero visitas a los campos deportivos de los corregimiento para observar las condiciones actuales en que se encuentran.</t>
  </si>
  <si>
    <t xml:space="preserve">
Se realizaron las siguientes actividades en el período: 
*Capacitación, avance y seguimiento sobre el plan de trabajo del proyecto plataforma Hércules.
*Desarrollo y conformación de las nuevas convocatorias PAFID – PADAL convencional y Discapacidad, Organismos Deportivos.
*Mesas de trabajo para la reactivación en Deportes y Recreacion del uso de la Bicicleta. ( Martes de bici y Jueves de Popa)
*Reactivación  y Activación de apoyo a la logística a usuarios clubes y ligas para préstamo de escenarios deportivos del Distrito de Cartagena en administración del Instituto Distrital de Deporte.
</t>
  </si>
  <si>
    <t xml:space="preserve">En el mes de enero nos enfocamos en socializar la próorroga que se hizo con el Ministerio de los Juegos  Intercolegiados 2021  para darle continuidad al proceso del montaje de los videos para ejecutar el programa en el mes de febrero, 
El juzgamiento de los videos se realizará en la segunda semana del mes de marzo. También se realizarón las siguientes actividades :               Reunión con la plataforma de Hércules.
 Socialización con el ministerio vía telefónica para el cargue de videos.
Socialización del proyecto ley del deporte con el ministerio.
</t>
  </si>
  <si>
    <t>Se aprobarón los doce (12) planes estrategicos e institucionales de Decreto No. 612 del 2018 , en el pirmera reunión  ordinaria No. 001 del comité Institucional de Gestión y Desempeño  el 25 de enero de 2021 y en comité extendido del 30 de enero de 2021 , los cuales fueron publicados en la página web del IDER en el link de Transparencia.</t>
  </si>
  <si>
    <t xml:space="preserve">Durante el mes de enero y febrero del 2021, se realizó la actualización del «Manual de Manejo de Césped» así como también la actualización del «Plan de Mitigación de Riesgos en los Escenarios Deportivos» –PEMRED–. La ejecución de 55 Mantenimientos Preventivos Recurrente –MPR– entre ellos 9 en unidades mayores 19 medianos y 23 en menores.
Se realizaron 19 visitas técnicas entre las que se encuentran las unidades deportivas de las zonas insulares –Isla Múcura, Isla Fuerte, Tintipán e Isla Grande– y 9 mesas de trabajo.
Se continua aplicando los protocolos de bioseguridad y divulgaciones en redes sociales de las actividades de la oficina asesora de infraestructura
</t>
  </si>
  <si>
    <t>En estos primeros  meses se inició con el proceso de contratación, organización del  equipo de trabajo,elaboración del cronograma de actividades de cada unos de proyectos del programa Observatorio  el cual  tiene la finalidad de cumplir  la ejecución de  las metas trazadas para este periodo 2021, es importante precisar, que debido a la pandemia del Covid 19, este programa ha sido diseñado para desarrollarse bajo la modalidad virtual, de alternancia y/o presencial, en la medida que la emergencia que vivimos lo permita.</t>
  </si>
  <si>
    <t xml:space="preserve">En estos primer  mes se inició con el proceso de contratación, y organización del  equipo administrativo, interdisciplinario y docentes en el cual se busca la ejecución de  las metas trazadas para este periodo 2021 que se tiene como objetivo la inscripción de 4.400 niños, niñas y adolescentes, para cumplimiento de la misma el instituto adquirió una plataforma tecnológica llamada Hércules,. Además se realizaron  acercamientos con líderes, presidente de JAC y comunidad en general, para colocar en conocimiento las ofertas que el programa tiene diseñadas para el buen uso de del tiempo libre, de esta se implementara una metodología de alternancia (Presencial y Virtual) cumpliendo con todos los protocolos de bioseguridad, exigidos por el ministerio del deporte y el instituto distrital de deporte y recreación. 
Para las socializaciones y articulación con las JAC y líderes comunales, se asignaron grupos de apoyo del equipo psicosocial, distribuidos estratégicamente en las 3 localidades del distrito que en compañía del docente y miembros de la junta y/o grupos sociales, realizan visitas a la comunidad , jornadas de perifoneo, socializaciones, jornadas de inscripción, etc, con el objetivo de masificar los puntos y llevar nuestra oferta a todas las comunidades del distrito. En el mes de febrero asistieron a clases  810 niñas, niños y adolescentes.
</t>
  </si>
  <si>
    <t xml:space="preserve">%de avance Enero - Marzo Meta año 2021 </t>
  </si>
  <si>
    <t>% de avance del programa a 31 de Marzo   2021</t>
  </si>
  <si>
    <t>% de avance en la meta Cuatrienio</t>
  </si>
  <si>
    <t xml:space="preserve">% AVANCE PROGRAMAS A 28 DE FEBRERO DE 2021  </t>
  </si>
  <si>
    <t>APROPIACIÓN INICIAL 2021</t>
  </si>
  <si>
    <t>APROPIACION DEFINITIVA  2021</t>
  </si>
  <si>
    <t xml:space="preserve">AVANCE FINANCIERO A 28 DE FEBRERO DE 2021 </t>
  </si>
  <si>
    <t xml:space="preserve">OBSERVACIONES FEBRERO 2021 </t>
  </si>
  <si>
    <t xml:space="preserve">Avance Meta Producto  (cuatrenio)  a 28 de Febrero de 2021 </t>
  </si>
  <si>
    <t xml:space="preserve">APROPIACION DEFINITIVA 2021 </t>
  </si>
  <si>
    <t>REPORTE EJECUCIÓN PRESUPUESTAL-MARZO   2021</t>
  </si>
  <si>
    <t xml:space="preserve">Se realizaron actividades   a 27 organizaciones privadas o públicas  en las que se beneficaron a .1.068  personas , se realizarón dos  (2) jornadas de sencibilización de grupo de personas mayores o Centros de Vida. Se llevaron a cabo  otros productos del proyecto  como son: Tamizajes, jornadas de actividad física y recreativa, asesorias HEVS en cada actividad  y asesorias grupales de ciencias aplicadas  </t>
  </si>
  <si>
    <t>Se beneficiaron a través de 52 puntos de atención de Madrúgales a la Salud a 1.778 personas, 1.674 personas se atendieron en los  52 puntos de Noches Saludables, se beneficiaron  a 275 personas en los puntos de atención de Caminante Saludable, en los 15 puntos de  Joven Saludable  se benefiaron a  277 personas, para un total de  4.004  de personas beneficiadas.</t>
  </si>
  <si>
    <t>Se  realizaron 6 socializaciones, en las Jac de los barrios Zaragocilla, Alcibia,Las Palmeras,  San José de los Campamentos, Bostón, Las Gaviotas y en el barrio Manga se realizo campaña de sensibilización contra COVID-19 asi como se llevo a cabo una jornada de VAS que beneficio a 652 personas.</t>
  </si>
  <si>
    <t>Se realizo inducción general  con  5 capacitaciones a líderes de bosques y recreadores  que beneficiaron a 40 personas  y se beneficiaron del proyecto  a 80  jóvenes.</t>
  </si>
  <si>
    <t>Se realizaron 3 actividades  en barrio Zaragocilla , Luis Carlos Galán, en el corregimiento de Pasacaballos que beneficiaron a 132 personas , Se realizaron 14 socializaciones a las comunidades . En est poryecto durante el mes de febrero se benefiaron a 342  adolescentes y jóvenes asi como también se beneficiaron a 41 personas  mayores para un total de 383 personas atendidas.</t>
  </si>
  <si>
    <t xml:space="preserve">Se realizaron 4 sesiones de la estrategia de Activate Gestante que benefiiciaron a 164 personas ( talleres  sobre el cuidado, hábitos de vida saludable y estimulación temprana) </t>
  </si>
  <si>
    <t xml:space="preserve">• Se realizó  revisión, documental y se elaboró  marco de antecedentes.
• Se segmentó la población muestra para aplicación de instrumentos
• Se inició construcción de instrumentos 
• Se realizó reunión con la UDC y la UTB para socializar objetivos del proyecto y revisar posibles alianzas.
• Se identificó a los especialistas en curaduría para  la caracterización de piezas patrimoniales
• Se identificó a los sabedores, pensadores y especialistas que conformarían el comité CPAD para   la caracterización de piezas patrimoniales
• Se diseñó el instrumento para identificar las piezas de memoria y seleccionar las misma
• Se definió la fecha de la muestra piloto expuesta
• Se diseñó el cronograma de coloquios y se estructuró el perfil de los participantes para los dos primeros coloquios alineados a la agenda de ciudad.
• Se proyectó oficio de invitación para los ponentes
• Se definió las estrategias de divulgación para cada producto
• Se proyectó oficio para invitación del comité CPAD
</t>
  </si>
  <si>
    <t xml:space="preserve">AVANCE FINANCIERO A 31 DE MARZO DE 2021 </t>
  </si>
  <si>
    <t>REPORTE META PRODUCTO  ACUMULADO MARZO  2021</t>
  </si>
  <si>
    <t xml:space="preserve">• Se elaboró documento preliminar de Centro de Pensamiento y se envió a Planeación  para observaciones y posterior  socialización con el equipo del Observatorio.
• Se adelantaron reuniones con la Universidad Tecnológica de Bolívar y la Universidad de Cartagena, para escuchar propuestas del semillero de investigación.
• Se redactó por parte de la Coordinación del proyecto de Aplicación de Ciencias al sector deporte, una  primera propuesta del semillero de investigación, con cronograma y requisitos para participar. 
• Se recibió asesoría por parte de la Universidad Tecnológica de Bolívar y está siendo analizada por el equipo del Observatorio.
• Se elaboraron tres (3) crónicas deportivas: Berenice Moreno Atencia  "Icono del Patinaje Colombiana", La Profe Yenny "Salvando Vidas desde el Deporte", Enrique Rafael Polo Andrade " Atleta  y Médico de Corazón. 
•  Se publicaron en la página web tres (3) crónicas deportivas.
• Se adelantaron mesas de trabajo con el equipo de Recreación, para la generación de lluvias de ideas para el desarrollo conjunto de un artículo de investigación.
• Se adelantaron reuniones con el equipo de Comunicaciones para definir presupuesto de los diferentes medios de divulgación (redes sociales). 
</t>
  </si>
  <si>
    <t xml:space="preserve">OBSERVACIONES MARZO 2021                                                                                     https://1drv.ms/u/s!An_-YqStCA-JiGi2-vDjBXAmrYuU?e=p2Q7Tc                                                                                                                                                      </t>
  </si>
  <si>
    <t>En el mes de marzo se  realizaron campañas de inscripción y motivación con los niños, niñas, jóvenes,  padres de familia y comunidad en general, para que se vincularan a los diferentes niveles de formación de la escuela; con esta estrategia logramos superar las metas técnicas propuestas para esta vigencia, en el  nivel tres (3) de énfasis deportivo y el nivel cuatro (4) de perfeccionamiento deportivo, nos proyectamos para el próximo período alcanzar la meta de los niveles de iniciación deportiva y seguir impactando a la comunidad en formación deportiva. Se inscribieron 4.020 para un total de 4.830  niños, niñas y adolescentes . La EIFD obtuvo  un crecimiento porcentual a la fecha del 9,8%  de la meta trazada para el año 2021.</t>
  </si>
  <si>
    <t xml:space="preserve">Para este período se continuó trabajando las acciones de vigencia del año 2020, las cuales no se han podido concluir, fueron promovidos para la fase departamental  202 deportistas en Ajedrez y 85 en otras disciplinas deportivas , para un total  287 deportistas.
Para esta vigencia del año 2021,  en lo correspondiente a la realización de los Juegos Universitarios en el año 2021, se organizó una reunión virtual con los representantes de las universidades que están afiliadas ASCUN para definir la realización de los Juegos Universitarios Distritales y acordaron realizar actividad física  y virtualmente los deportes de karate, taekwondo y ajedrez.
Para la realización de los Juegos Intercolegiados en el año 2021, el Ministerio del Deporte envió la carta de participación con la línea de inversión con el cual apoyarán al Instituto. Este proyecto tuvo una ejecución en recursos del 32 % y esto se debe a contratación del personal que realizan las actividades del proyecto.
</t>
  </si>
  <si>
    <t xml:space="preserve">Se han realizado mesas de trabajo para realizar la apertura de la Convocatoria Pública de estimulos a los organismos deportivos , la cual se tiene programada para el mes de abril de 2021. El 18,06% de ejecución de recurso del proyecto corresponden a la contratación del personal que realizan las actividades del proyecto. </t>
  </si>
  <si>
    <t>Se han realizado mesas de trabajo para realizar la apertura de la Convocatoria Pública de estímulos a los organismos deportivos , la cual se tiene programada para el mes de abril de 2021.</t>
  </si>
  <si>
    <t xml:space="preserve">Se crea la Resolución No. 052 (Marzo 15 de 2021)
“Por medio de la cual se fijan los criterios para la entrega de incentivos a
deportistas mediante convocatorias públicas en cumplimiento de las acciones y
metas de los programas de apoyo a Deportistas de Altos Logros – PADAL y
Futuros Ídolos del Deporte – PAFID, y se dictan otras disposiciones.
Se da apertura  a través de la Resolución No.055 del 17 de marzo de 2021 , a la Convocatoria Pública dirigida a los Atletas que aspiran a los estímulos de los Programas Institucionales de Apoyo a Deportistas Altos Logros(PADAL) y Futuros Ídolos del Deporte (PAFID), en la vigencia 2021”.                                                                                                   Se  crea la Resolución No. 059 del 24 de marzo de 2021“Por medio de la cual se modifica el artículo 5 de la resolución 055 del 17 de marzo de 2021 y se amplían los términos de inscripción de la convocatoria PADAL y PAFID.  La Resolución  No. 070  del 31 de marzo de 2021, “Por medio de la cual se modifica el artículo 5 de la resolución 055 del 17 de marzo de 2021 modificado por el artículo 1 de la resolución 059 del 24 de marzo de 2021 y se amplían los términos y las etapas de la convocatoria PADAL y PAFID”. se inscribieron   con 552 atletas inscritos.  El 18,06% de ejecución de recurso del proyecto corresponden a la contratación del personal que realizan las actividades del proyecto. </t>
  </si>
  <si>
    <t xml:space="preserve">Se están realizando mesas de trabajo para la puesta en marcha de los diferentes eventos de carácter nacional,local e internacional teniendo en cuenta las condiciones actuales de la Pandemia COVID-19. El 18,06% de ejecución de recurso del proyecto corresponden a la contratación del personal que realizan las actividades del proyecto. </t>
  </si>
  <si>
    <t xml:space="preserve">Durante el período que comprende este informe, se visitó al cabildo indígena de Membrillal, donde se les dio a conocer, como el distrito a través del IDER impacta a las comunidades Indígenas, Asistimos por solicitud del presidente de la JAC y algunos miembros de la comunidad a una reunión en el campo de Membrillal, donde ellos expresaron su interés de que se realice la inauguración de los juegos corregimentales en su comunidad, además solicitaron mejorar el back stock del campo y mover del lugar donde se encuentran las gradas y el tablero por encontrarse dentro de este, lo cual presenta impedimentos para realizar deportes como el béisbol y en softbol en varias categorías. Asistimos a reunión con los 6 capitanes de los cabildos indígenas asentados en el distrito y funcionarios de la Secretaria de Interior, cuyo objetivo fue escuchar las inquietudes de los capitanes sobre  al impacto de los programas misionales del instituto a sus comunidades. El 18,75% de ejecución de recurso del proyecto corresponden a la contratación del personal que realizan las actividades del proyecto. </t>
  </si>
  <si>
    <t xml:space="preserve">Se tiene previsto que los eventos se realicen a partir del segundo semestre del año  y dependiendo de las medidas que tome el Gobierno Nacional y el Distrital , por la situación de la pandemia del COVID-19. El 18,75% de ejecución de recurso del proyecto corresponden a la contratación del personal que realizan las actividades del proyecto. </t>
  </si>
  <si>
    <t xml:space="preserve">Se realizaron  23 jornadas de sensibilización a organizaciones públicas y privadas, se realizarón 23 jornadas recreo-deportivas en  organizaciones públicas y privadas. Se llevaron a cabo  otros productos del proyecto  como son: Tamizajes, jornadas de actividad física y recreativa, asesorías HEVS en cada actividad  y asesorías grupales de ciencias aplicadas.  </t>
  </si>
  <si>
    <t xml:space="preserve">El proceso de  mínima cuantía para la modernización del CAF esta estructurado y  en espera teniendo en cuenta que la Tasa Pro-Deporte y Recreación , es un recurso nuevo y se encuentra en proceso de implementación en el Distrito de Cartagena de Indias. </t>
  </si>
  <si>
    <t>Se beneficiaron a través de 52 puntos de atención de Madrúgales a la Salud a 2.373  personas, 2.336 personas se atendieron en los  52 puntos de Noches Saludables, se beneficiaron  a 270 personas en los 4 puntos de atención de Caminante Saludable, en los 15 puntos de  Joven Saludable  se beneficiaron a  339 personas, para un total de  5.318  de personas.</t>
  </si>
  <si>
    <t>Se realizaron en este trimestre  10 capacitaciones, 4 talleres  sobre temas nutricionales y pautas  de crianza amorosa, un encuentro de Actívate Gestante  y 11 talleres sobre el cuidado, hábitos de vida saludable y estimulación temprana .</t>
  </si>
  <si>
    <t>Se realizaron en este primer trimestre 18 sesiones de formación para el servicio social de los campistas.</t>
  </si>
  <si>
    <t>Se llevaron a cabo 2 talleres de Técnicas de Recreación.</t>
  </si>
  <si>
    <t>Se realizaron 8 ciclopaseos y una vía recreativa, estos ciclopaseos se llaman : Martes de Bici y   Jueves de Popa , se llevó a cabo el día viernes  26 de marzo el evento  Lunabike en asocio con la Mesa de la Bici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</si>
  <si>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el cual se publicará en el link de transferencia.</t>
  </si>
  <si>
    <t xml:space="preserve">Se  otorgaron en el mes de enero 88 permisos , febrero 316 permisos y en marzo 389 permisos para un total en el primer trimestre del año 2021 de 793 permisos. Se mantuvo el cumplimiento  de los protocolos de bioseguridad en los escenarios deportivos  </t>
  </si>
  <si>
    <t>Se beneficiaron en este primer trimestre del año 2021 a 3.449 personas distribuidas así: en el mes de enero a 679 personas, en febrero a 874 personas y en marzo a 1.896 personas.Se mantuvo el cumplimiento  de los protocolos de bioseguridad en los escenarios deportivos .</t>
  </si>
  <si>
    <t>. Durante el período comprendido entre el 1 y el 31 de Marzo se realizaron Mantenimientos Preventivos Recurrentes 71 escenarios (9 mayores + 30 medianos + 37 menores
16 visitas técnicas entre las que se destaca: Campo de Beísbol Preinfantil Martínez Martelo, Olaya Sector Foco Rojo, Los Cerezos cancha múltiple, Olaya Nuevo Paraíso Sector, vereda El Recreo Pasacaballo, Tierra Bomba estadio de softbol y Socorro plan 500),Se realizaron 9 liberaciones de actividades de mantenimiento locativos (pintura, plomería, etc)  . Durante este primer trimestre se realizaron 35 visitas técnicas.</t>
  </si>
  <si>
    <t xml:space="preserve">En este momento nos encontramos trabajando en la formulación de proyectos para poder presentarlos antes las posibles fuentes de financiación. </t>
  </si>
  <si>
    <t>REPORTE DE ACTIVIDADES DE ENERO -FEBRERO  2021</t>
  </si>
  <si>
    <t>REPORTE DE ACTIVIDADES DE   ENERO -MARZO  2021</t>
  </si>
  <si>
    <t>% de avance en la meta de actividades a 30 de marzo de 2021</t>
  </si>
  <si>
    <t>% de avance en la meta de actividades a  28 de febrero de 2021</t>
  </si>
  <si>
    <t>REPORTE EJECUCIÓN PRESUPUESTAL-ABRIL 2021</t>
  </si>
  <si>
    <t>REPORTE META PRODUCTO  ACUMULADO ABRIL   2021</t>
  </si>
  <si>
    <t xml:space="preserve">%de avance Enero - Abril  Meta año 2021 </t>
  </si>
  <si>
    <t>% de avance del programa a 30 de Abril    2021</t>
  </si>
  <si>
    <t xml:space="preserve">
• Se presentó ante Dirección General el cronograma de actividades, productos, presupuesto y responsables del plan de acción 2021 donde se acataron recomendaciones para ajustarlo, articular esfuerzos de trabajo con las áreas de planeación, comunicación, jurídica y luego de un segundo encuentro fue aprobado
• Mesa de trabajo con el equipo de Recreación para socializar su propuesta de investigación originada después de una mesa de trabajo previa en la que se generó una lluvia de ideas
• Reunión con Planeación para sentar las bases y mejorar la estructura de las propuestas iniciales del Centro de Pensamiento y el Semillero de Investigación
• Reunión con Comunicaciones para presentar las necesidades y requerimientos para la divulgación y/o difusión de los diferentes productos y actividades
• Reunión con Comunicaciones para revisar y mejorar la página web del Observatorio
• Mesa de trabajo presencial con la Escuela de Iniciación y Formación Deportiva donde manifestaron sus necesidades y a partir de allí aunar esfuerzos para encontrar posibles soluciones al banco de problemas pedagógicos de la Escuela. Que su naturaleza no se limite a lo social sino también al desarrollo de habilidades en los niños y a generar talento
• Mesa de trabajo con Recreación y la Universidad San Buenaventura (USB) en la que se dialogó acerca de la posible línea base de investigación, disponibilidad de datos y estado del convenio
• Inducción del Observatorio a la Escuela de Iniciación y Formación Deportiva
• Encuentro virtual con Dirección General para presentar los avances en la estructuración de los diferentes productos: Centro de Pensamiento, Semillero de Investigación y Encuentro Científico. Las temáticas propuestas fueron aprobadas y se acataron nuevas recomendaciones y compromisos
• Mesa de trabajo con la Universidad de Cartagena (UDC) para aunar esfuerzos en el desarrollo del segundo Encuentro Científico y se presentó la propuesta y líneas de investigación del Semillero de Investigación
• Reunión con Jurídica en la que se analizó la resolución del Observatorio sus funciones y diferencias entre: Centro de Investigación, Red de Investigación y Observatorio. Así mismo se establecieron compromisos en desagregar los requerimientos de los productos priorizados para el 2021
</t>
  </si>
  <si>
    <t xml:space="preserve">Se llevaron a cabo 83  capacitaciones que beneficiaron a 3.333 personas durante este primer trimestre del año 2021.  Se realizó foro conmemorando el día de la mujer  el día 9 de Marzo llamado Mujer Deporte Ciencia y Ciudadanía con la una participación de 250 personas.
 Se realizó inducción a los aspirantes a conformar la primera cohorte de Actividad Física 2021, con una participación de 50 preseleccionados el día 17 de Marzo.
 Se realizó capacitación al programa de Recreación conozcamos el observatorio de las ciencias aplicadas al deporte la recreación y la actividad física, con la participación de 108 personas.
 Se  realizaron capacitaciones relacionadas con Administración y Legislación Deportiva, a integrantes de clubes comunitarios
 Se adelantó gestión para la renovación del convenio de Asociación 0002 de marzo del 2018; que se ha venido realizando entre el Instituto Distrital de Deporte y Recreación IDER y el Servicio Nacional del Aprendizaje SENA.  
 En la actualidad existe una alianza con UNICOLOMBO
 </t>
  </si>
  <si>
    <t xml:space="preserve">• Se realizó  revisión documental y se elaboró marco de antecedentes y marco de teórico
• Se realizó cronograma definitivo de las mesas de trabajo para el diagnóstico y protocolo de identificación con la población segmentada y sus respectiva fechas de realización.  
• Se actualizó base de datos del directorio institucional de las Juntas de Acciones Comunales y Clubes Deportivos, presidentes actuales de estas entidades.
• Se realizó la construcción de los Instrumentos a utilizar en cada una de las mesas de trabajos.
• Se construyó la metodología a utilizar en el diagnóstico y el protocolo de identificación. 
</t>
  </si>
  <si>
    <t>Los eventos recreativos de ciudad y los eventos recreativos de playa no están autorizados por las restricciones de aforo para mitigar los contagios por COVID-19, Como medida preventiva según el Decreto 0452 del 26 de abril, se restringen los espacios para realizar actividades de espacio público, ciclovías y demás eventos que requieran aforo mayor de 50 personas.</t>
  </si>
  <si>
    <t xml:space="preserve">1. Por las restricciones de COVID-19 se viene reforzando la atención a las comunidades por plataformas virtuales, como complemento del componente nutricional venimos adelantando por Facebook live se transmite el taller "Cocineritos en Acción" con el acompañamiento de nuestra nutricionista, dos veces al mes.
2. Se realizaron 4 "Escuelas Interactivas" donde tuvimos un alcance de 6.734 personas y un total de reproducciones de 17.369.
</t>
  </si>
  <si>
    <t>1. Por motivo de la nueva cepa que propaga con más fuerza de contagio por el COVID-19, se están realizando actividades virtuales en las diferentes Instituciones Educativas, videos tutoriales y actividades recreativas a través de la Plataforma Facebook.</t>
  </si>
  <si>
    <t xml:space="preserve">1. Se disminuyo la capacidad de asistencia en los puntos de actividad física de acuerdo con las normas de protocolo de bioseguridad a un aforo máximo de 20   usuarios por sesión y teniendo en cuenta el espacio físico. Se presento en el periodo del mes de abril, una disminución en la asistencia de usuarios en los puntos de actividad física de un 5%, motivado por la situación de aumento de contagios de la pandemia del COVID-19 y los protocolos tenidos en cuenta en las sesiones (disminución de aforo por sesión).
2. Se dio apertura a la estrategia madrúgale a La salud en el nuevo punto del Barrio Nuevo paraíso sector Alameda.
3. Se realizaron eventos de concentración y promoción relacionados en los ítems 8 y 9 impactando un total de 314 usuarios, varios de estos eventos quedaron aplazados por el motivo de aumento de la tercera ola del COVID-19.
4. La estrategia Joven Saludable pasa a desarrollarse de forma virtual en este período, con videos tutoriales y transmisiones en vivo.
5. Se realizo la clausura de semillero de actividad física dirigida musicalizada con excelentes resultados en cuanto a la formación y crecimiento de los aprendices.
6. Se tiene a la fecha inscritos en la Plataforma Hércules un número de 2.535 usuarios.
7. Se realizo mega clase virtual teniendo una favorable acogida por parte de los usuarios del programa.
8. Como medida preventiva según el del Decreto 0452 del 26 de abril , impartido por la administración Distrital, las clases de noche saludable se bajaron una hora para darle cumplimiento al mismo y seguir beneficiando a nuestros usuarios.
</t>
  </si>
  <si>
    <t>1. El CAF se encuentra en periodo de remodelación y modernización (15) a la espera de su apertura.</t>
  </si>
  <si>
    <t xml:space="preserve">1. Se realizan planificación y cronogramas de trabajo en centros penitenciarios y carcelarios. La primera se socializa con el director del establecimiento, se hace visita de inspección con recorrido por el centro para dejar claras las normas de bioseguridad y dinámica de trabajo para el año en curso, para iniciar actividades en la semana primera del mes de mayo. 
2. Hemos tenido buena acogida con los eventos virtuales realizados en colegios e instituciones educativas.
3. No ha sido fácil la reactivación de los grupos de persona mayor, a inicios de mes veníamos con buenos números de jornadas enfocada a esta población, pero desde la tercera semana del mes, bajo el volumen de estos, por medidas preventivas a la propagación de la tercera ola de COVID-19.
4. Este mes se cancelaron casi un 30 % de las actividades con empresa saludable, pues muchas de las programadas manifestaron casos positivos dentro de la empresa e iniciaron con todas las medidas de cercamiento epidemiológico, a la medida que el panorama mejore se retomaran todas las actividades y jornadas programadas con los mismos.
5. Los Tamizajes fueron suspendidos desde la segunda semana, para respetar el distanciamiento y mantener los protocolos de bioseguridad establecidos por el gobierno nacional.
6. En   el mes de abril se realizaron actividades que giran en torno a la campaña del Día mundial de la actividad física #unpocovalemucho, se realizó una Mega clase virtual con las instituciones educativas y colegios de la ciudad, la cual presento una excelente acogida, videos tutoriales con cuerdas y therabanes, capacitación de clausura con el grupo interdisciplinario y con una facilitadora invitada de la Universidad de San Buenaventura.
</t>
  </si>
  <si>
    <t>% DE EJECUCION A 30 DE ABRIL  DE 2021</t>
  </si>
  <si>
    <t xml:space="preserve">AVANCE FINANCIERO A 30 DE ABRIL DE 2021 </t>
  </si>
  <si>
    <t>% DE EJECUCION A 30 DE MARZO  DE 2021</t>
  </si>
  <si>
    <t>% DE EJECUCION A 28 DE FEBRERO  DE 2021</t>
  </si>
  <si>
    <t>REPORTE DE ACTIVIDADES DE   ENERO -ABRIL  2021</t>
  </si>
  <si>
    <t xml:space="preserve">% AVANCE TÉCNICO DE LOS PROGRAMAS A 30 DE ABRIL DE 2021  </t>
  </si>
  <si>
    <t xml:space="preserve">% AVANCE TÉCNICO DE LOS PROGRAMAS A 31 DE MARZO DE 2021  </t>
  </si>
  <si>
    <t xml:space="preserve">Avance Meta Producto  (cuatrenio)  a 30 de Abril  de 2021 </t>
  </si>
  <si>
    <t xml:space="preserve">Se  otorgaron en el mes de enero 88 permisos , febrero 316 permisos , en marzo 389 permisos , en abril  502 permisos para un total de 1.295  persmisos entre enero a abril de 2021  Se mantuvo el cumplimiento  de los protocolos de bioseguridad en los escenarios deportivos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</si>
  <si>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son socilizados en el Comité Institucional de Gestión y Desempeño.</t>
  </si>
  <si>
    <t>Se realizo en este mes de abril de 2021 las siguientes actividades: 33 sesiones de servicio social a los campistas, se desarrollo un (1) módulo sobre habilidades para la vida,  se realizó una actividad con la  Escuela para Padres.</t>
  </si>
  <si>
    <t xml:space="preserve">Conversaciones vía telefónica con representante de la junta de acción comunal del barrio de  Villa Rosa la Sra. Maribel Ayala de su interés de hacer parte del proceso de deporte social comunitario y participación en los juegos Distritales de la Discapacidad con la población con discapacidad que existe en su comunidad, ella requiere una socialización de forma presencial con la población a bene-ficiar (estamos en la espera que baje el pico de la pandemia pues ellos no cuentan con los medios para hacerlo de forma virtual). Gestionar ante el Ministerio del Deporte recurso para fortalecer el pro-ceso que tenemos en la ciudad de Cartagena de Indias en Deporte Social Comunitario. (Vía telefóni-ca y  estamos en la espera de la firma de la solicitud y enviar y así hacerla oficial).
Reunión virtual, día Abril 07  
Tema: Mesa de trabajo de Jóvenes participando en espacios culturales, deportivos y de acciones de cultura de paz.
Participantes: IDER, Secretaria de Participación ciudadana, Secretaria de Interior.
Reunión virtual, día Abril 16 , Tema: Socialización del cronograma de actividades de los Juegos Corregimentales, solicitud de inscripción de los deportistas a participar, Participantes: Líderes deportivos de los corregimientos- equipo de trabajo Deporte Social Comunitario.
Reunión virtual, días Abril 14 - 19 , Tema: Deporte Social Comunitario.Participantes: Directora- equipo de trabajo Deporte Social Comunitario.                                                                                                                            Reunión presencial, día Abril 22, Tema: Socialización Juegos Comunales.
Participantes: Gestores comunitarios Francisco vega – Miguel Morón- Darío Casas, Presidente Asojac localidad 3, Sr. Fortich, Coordinador de Deportes localidad 3, Julian Puello Roca y Monitores Juegos Comunales.
Reunión virtual, días abril 22, Tema: Cadena de entrega del programa Deporte Social Comunitario del Área de Deporte, Participantes: Lauren Meza talento humano Alcaldía de Cartagena, Rosa Medina y Luis Barboza Deportes Ider. 
Reunión virtual Tema: Socialización semanal de las actividades realizadas del Programa DSC, Participantes: Equipo de trabajo Deporte Social Comunitario.
Reunión Virtual, 23 de Abril, Tema: mesa de trabajo, Socialización del Cronograma de los Juegos Indígenas 2021. La Información acerca del censo poblacional que permita identificar las personas a participar en las diferentes disciplinas. La metodología empleada por el Ider en los juegos. Agendar la visita a los cabildos restantes la próxima semana  para identificar el estado actual de los asentamientos y escenarios deportivos donde se realizaran las actividades en la recuperación de las practicas ancestrales de acuerdo a lo establecido en el pilar Eje Transversal del plan de desarrollo ¨Salvemos Juntos a Cartagena¨.
 Participantes: Autoridades Indígenas: Álvaro Bula (Bayunca), Robinson González (Pasacaballos), Carlos Zurita (Bayunca), equipo Ider.
Visita al Cabildo Zenu Zhandero de Bayunca,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 Capitán del cabildo Álvaro Bula, Equipo Ider.
Visita al cabildo indígena Zenu Kaiceba de Bayunca, Abril 27,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 Capitán del Cabildo Carlos Zurita, equipo Ider.
Visita al Cabildo Indígena Zenu Kainzerupab de Pasacaballo, Abril 30,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Indígenas, Capitán del cabildo Robinson Gonzales, equipo Ider.
Visita al EPMSCC para diagnosticar el estado de los espacios para realizar actividades deportivas, de igual manera supervisar los diferentes eventos que están realizando los PPL en los diferentes patios.
Visita a la cárcel distrital de mujeres para hacer un estudio del estado de los espacios para realizar los diferentes eventos deportivos.
Inicio de actividades deportivas en la cárcel distrital de mujeres, estaremos realizando una actividad semanal momentáneamente.
</t>
  </si>
  <si>
    <t xml:space="preserve">Reunión virtual con los presidentes de clubes y ligas de discapacidad y representante de la junta directiva de discapacidad y personal de apoyo del programa de DSC del IDER para socializar la   alternativa que debemos tener  por motivos de la pandemia no se puedan desarrollar los Juegos Dis-tritales de la Discapacidad, donde se acordó que podemos focalizar diferentes grupos de personas con discapacidad y así realizar los HOGARES PROMOTORES DEL DEPORTE con el apoyo de las familias o cuidadores de usuarios beneficiados. (7 y 16 de abril del 2021)                                                                                                                              Reunión virtual con secreta-ria de participación del  programa de discapacidad, IPCC y transcribe para coordinar actividades celebración día del niño los días 8 y 13 de abril del 2021 donde se quedó el compromiso de parte del IDER desarrollar actividades recreo deportivas por parte de los docentes de deporte social comunita-rio y recreadores en los barrios de Arroz Barato y San José de los Campanos los días 14 y 15 de abril del presente año. (La actividad no se realizó por motivos del tercer pico alto de la pandemia Covid 19).                                                                                                                                                                                                   Reunión virtual con el equipo de prensa Paola Cabarcas, Ángela Mulett y Luis Bustaman-te para coordinar la campaña de promoción de los juegos distritales de la discapacidad y del progra-ma de deporte social comunitario y sus prácticas deportivas. (8 de abril a las 2:00 pm).                                                                                                                                                                                                                                                            Reunión vir-tual con Cindy González Arrieta representante y trabajadora social de la Fundación Casa del Niño y docentes  del programa de DSC para vincularlos a las prácticas deportivas y promocionar los Juegos Distritales de la Disca-pacidad y que hagan parte de los mismos, dando como resultados trabajar en RED y adquirir com-promisos para la participación de las actividades a desarrollar. (22 de abril del 2021 a las 8:00 am). 
Se desarrolló el taller virtual “Acercándonos a la lengua de Señas Colombiana” con el objetivo de brindar una atención de calidad a las personas con discapacidad auditiva donde participaron 66 per-sonas que hacen parte del personal de planta y contratistas del IDER (27 de abril del 2021 a las 2:00 pm)
Reunión presencial en el barrio Huellas Alberto Uribe con el presidente de la junta de acción comunal ( Rafael Meza Marimon), coordinador de deporte ( Rafael Rodríguez), presidente del Club Deportivo Ciegos de Bolívar y líder en la comunidad (Gustavo Chávez) y el deportista de baloncesto en silla de ruedas y líder de la comunidad (Armando Montero), para socializar los Juegos Distritales de la Discapacidad y la alternativa de los Hogares Promotores con el objetivo que como es una urbanización que cuenta con una alta población de personas con discapacidad se vinculen en cada una de las actividades a desarrollar.  (30 de abril del 2021).
Reunión presencial, Tema: Articulación de las diferentes acciones a realizar en el mes.
Participantes: coordinadora de la fundación Talid, Dra. Merlín Fernández, Dra. Marlín Hurtado, Equipo Ider.
Reunión presencial, Tema: Visita a la cárcel distrital de mujeres para articular las diferentes acciones a desarrollar en el mes.
Participantes: Equipo interdisciplinario del centro de reclusión, Dra. Margarita Arrieta, equipo Ider. 
</t>
  </si>
  <si>
    <t xml:space="preserve">Para esta este periodo se está finalizando el convenio coid-878- 2020.
Se trabajo con cada uno de los informes que solicita el ministerio para la liquidación de la misma.
Se anexan evidencias de las acciones realizadas de acuerdo a la vigencia del año 2020, se contestó la carta de aceptación al convenio de con financiación juegos Intercolegiados 2021.
A pesar del aislamiento que se ha venido presentado en nuestras instalaciones, no ha sido impedimento para sacar adelante la liquidación del convenio coid-878 de juegos Intercolegiados y dar paso al convenio 2021
</t>
  </si>
  <si>
    <t>Para el mes de abril de 2021 , recepcionamos propuestas para la realización de eventos en la ciudad de Cartagena de Indias como el Torneo Nacional de Tenis de Campo que se iba a realizar el 8 de mayo de 2021,  pero fue suspendido debido a la tercera ola del COVID-19 que estamos atravesando en Colombia y en particular nuestra ciudad.</t>
  </si>
  <si>
    <t xml:space="preserve">Los inconvenientes en la convocatoria generaron ampliar las fechas, debido al manejó de la plataforma Hércules ya que muchos deportistas no han podido subsanar algunas dificultades. 
Para la presente convocatoria resaltamos la gran expectativa suscitada, la cual refleja un gran número de participantes, pero también queda claro, el poco desarrollo de parte del grupo de discapacidad, los cuales necesitan más acompañamiento, conectividad y apoyo para el proceso de parte de sus clubes y entrenadores. 
En  la Resolución 083 del 16 de abril de 2021, se publicaron los deportistas excluidos, admitidos e inadmitidos. 
</t>
  </si>
  <si>
    <t xml:space="preserve">
Se aplazó  la convocatoria de organismos deportivos, con el fin de poder  estructurar adecuadamente los términos en base a las sugerencias de clubes y ligas en reunión o mesas de trabajo con los organismos. La estructuración consistirá en mejor los términos  de referencia en cuanto a la implementación y uniformidad que fue entregada en la primera convocatoria año 2020.
</t>
  </si>
  <si>
    <t xml:space="preserve">La Escuela de Iniciación y Formación deportiva tiene 35 enfasis y 18  perfeccionamiento ,  Al cerrar las inscripciones se pudo identificar  que la plataforma permitió que los usuarios siguieran realizando las inscripciones, de tal forma se  incremento para este mes de abril en un total de  5.108 NNA, y también cabe resaltar que al revisar la base de dato por la recomendaciones propuestas del área de planeación del instituto que visualizaron los campos de Sisbén tenía la categorización desactualizada, ya que en el formato de aparecía con puntaje y la nueva que implemento de planeación nacional es por códigos, por tan situación nos colocamos con el equipo de escuela y psicosocial a verificarla la base de dato que nos ayudara a depurar y organizar los campos para  presentar la caracterización de la población de EIFD. Esta información nos permite la incorporación de recursos en la sobre tasa deportiva, que tiene como beneficio en los NNA con mayor vulnerabilidad o extrema pobreza.. </t>
  </si>
  <si>
    <t xml:space="preserve">OBSERVACIONES ABRIL 2021   - https://1drv.ms/u/s!An_-YqStCA-JiGi2-vDjBXAmrYuU?e=boOoRO                                                                                                                                                                              </t>
  </si>
  <si>
    <r>
      <t xml:space="preserve"> 
.  
.
• Se realizó capacitación Inducción Y Articulación Con El Proyecto Escuela Iniciación Y Formación Deportiva (EIFD) Y Demás Programas De Deporte,  donde dimos a conocer los Productos Del Programa Observatorio Y La Importancia De La Participación Activa De La (EIFD), En El Desarrollo De Los Mismos, el día 22 de Abril con la participación de 95 personas.
• Se realizó reunión Articulación De Acciones Para La Puesta En Marcha De Programa De Becas en el marco de la alianza del convenio con Unicolombo, con el acompañamiento del director de Fomento Deportivo y un equipo administrativo de Unicolombo el día 26 de Abril, quedando como acuerdo que en este periodo el Colombo  se compromete a entregar 5 becas de estudio de inglés el Unicolombo 5 Becas de estudios profesionales durante el periodo de ejecución de este del convenio. 
• Se realizó Acompañamiento al Taller Acercándonos a la lengua de señas Colombiana Programa de Deporte Social Comunitario inmerso en el Programa de Inclusión, el dia 27 de Abril con la asistencia de 65 personas.
• Se realizó conversatorio Deporte y Recreación En el Proceso de desarrollo integral en Niños EIFD día 30 de abril se beneficiaron 165 personas                                          .• En la actualidad existe una alianza con UNICOLOMBO .                                                                                                                                                                                                                                  </t>
    </r>
    <r>
      <rPr>
        <sz val="18"/>
        <rFont val="Arial Narrow"/>
        <family val="2"/>
      </rPr>
      <t>•Se llevaron a cabo 86 capacitaciones que beneficiaron a 3.658 personas durante este período de enero -a bril de 2021 .</t>
    </r>
  </si>
  <si>
    <t>Se beneficiaron en  los primeros cuatro meses del  año  2021 a 6.567  personas distribuidas así: en el mes de enero a 679 personas, en febrero a 874 personas, en marzo a 1.896 personas y en abril a 3.118  personas. Se mantuvo el cumplimiento  de los protocolos de bioseguridad en los escenarios deportivos .</t>
  </si>
  <si>
    <t xml:space="preserve">OBSERVACIONES MAYO 2021   - https://1drv.ms/u/s!An_-YqStCA-JiGi2-vDjBXAmrYuU?e=boOoRO                                                                                                                                                                              </t>
  </si>
  <si>
    <r>
      <t xml:space="preserve">.
Durante el  período comprendido entre el 1 y el 30 de abril  se realizaron Mantenimientos Preventivos Recurrentes en 47 unidades deportivas (10 Mayores + 27 Medianas + 10 Menores). 
22 visitas técnicas se realizaron  asi como también se llevaron a cabo  Mesas de Trabajo en villas de Aranjuez, Urbanización Simón Bolívar, Los Calamares, entre otros.
Visitas para viabilización de proyectos en Ciudad Bicentenario (Máquinas Biosaludables) y Cancha Albornoz sector Los Girasoles.                                                                                                                Se realizaron 15 formatos de cumplimiento normativo, control de calidad, salud ocupacional de las unidades deportivas.
Se proyectó insumos para la respuesta a 11 Peticiones, Quejas y Reclamos .Manuales realizados:                                                                                                                                                    
</t>
    </r>
    <r>
      <rPr>
        <sz val="16"/>
        <color theme="1"/>
        <rFont val="Arial Narrow"/>
        <family val="2"/>
      </rPr>
      <t> POLÍTICA DE CONTROL DE CALIDAD Y DE SERVICIOS EN LOS ESCENARIOS
DEPORTIVOS.
 POLITICAS, LINEAMIENTOS Y ACCIONES BASE PARA SST ESCENARIOS
DEPORTIVOS</t>
    </r>
    <r>
      <rPr>
        <sz val="12"/>
        <color theme="1"/>
        <rFont val="Arial Narrow"/>
        <family val="2"/>
      </rPr>
      <t xml:space="preserve">
</t>
    </r>
    <r>
      <rPr>
        <sz val="18"/>
        <color theme="1"/>
        <rFont val="Arial Narrow"/>
        <family val="2"/>
      </rPr>
      <t xml:space="preserve">
</t>
    </r>
  </si>
  <si>
    <t>La Escuela de Iniciación y Formación deportiva se llevan a cabo  en 50 núcleos en la ciudad, distribuidos en las tres localidades así: L1: 16 comunidades, L2: 17 comunidades y L3: 17 comunidades, con un total de 65 profesores, incluyendo el equipo psicosocial, impactando en 19 disciplinas: atletismo, ajedrez, beisbol, baloncesto, boxeo, futbol, futbol sala, natación, taekwondo, karate do, judo, gimnasia, porrismo, pesas, softbol, canotaje, voleibol, patinaje y squash (niños, niñas y adolescentes de 6 a 17 años) estos núcleos benefician a 5.108 NNA,  Se realizó el día 1 de mayo, con una participación y asistencia de aproximadamente 80 personas entre padres de familia, acudientes, docente y equipo escuela, donde se socializaron temas con relación a las emociones, personalidad y manejo de conductas en nuestros niños y niñas, los asistentes se mostraron receptivos atentos e interesados realizaron preguntas, despejaron dudas y en base a esto se realizó un diagnóstico de necesidades a tener en cuenta en futuros encuentros, de esta manera le apuntamos a cumplir con lo pactado en el plan de acción atendiendo a las familias y padres a través de la estrategia: Escuelas para Padres. Se organizaron los ejes temáticos a trabajar en el ciclo II, con esto se marca una ruta de tra-bajo donde se implementan los temas de acuerdo a las etapas en cada punto y los valores a rescatar que son primordiales en el desarrollo y formación de cada deportista.</t>
  </si>
  <si>
    <t>Resolución No. 122 (28 de mayo de 2021) " Por medio del Cual se apertura convocatoria  pública para la entrega de apoyos a organismos deportivos que tengan jurisdicción en Cartagena de Indias D.T. en la vigencia 2021"</t>
  </si>
  <si>
    <t xml:space="preserve">• Reunión virtual para mesa de trabajo de los Juegos de Personas en Situación de Discapacidad, en la  cual participaron las Fundación el Rosario, Comfenalco, Fundación  Aluna, Centro Edu-cativo de Nivelación CEN ), Fundación REI.                                                                                                                     • Se presentó al Ministerio de Deporte postulación de la ciudad de Cartagena como ciudad sede para la final de los III Juegos Nacionales Deportivos y Recreativos Comunales 2021; la cual fue respaldada por el Alcalde Mayor. Esta postulación fue aceptada por el Ministerio, y se prevé visita para la primera semana de junio con el objetivo de verificar los datos incluidos en la postulación.                                                                                                                • Participación en la mesa técnica nacional para construcción de Política Publica Distrital de Discapacidad. Esta mesa fue organizada por Secretaria de Participación (14 de mayo del 2021).                                                                                                                                                                            •Se han realizado las supervisiones y coordinación de los entrenamientos del deportista con condicio-nes de discapacidad, las cuales estuvieron a cargo de los docentes del programa de deporte social comunitario en la modalidad virtual y presencial.                                                                                                    •Reunión presencial  con el presidente de Asojac, Localidad 1 y  la Localidad 2  durante este encuentro se llevó acabo, la socialización de los juegos comunales, teniendo como objetivos, tratar el tema de disciplina deportiva, categoría, todo lo referente al proceso de inscripción y Cronograma de actividades, a su vez se tomó atenta nota de las inquietudes e iniciativas de los participantes.                                                                                                                                   •El coordinador y los monitores encargados estuvieron realizando actividades deportivas y recreativas como: entrenamiento funcional y la práctica del Fútbol de Salón, en el Centro Carcelario para hombres de Ternera EPMSC- Cartagena. Estas actividades se realizan con el fin de fomentar el deporte, mantenerlos activos y con buena salud,  generar una buena convivencia y al mismo tiempo  motivarlos a participar  en los Juegos  Carcelarios este año. 
</t>
  </si>
  <si>
    <t>REPORTE META PRODUCTO  ACUMULADO 30 DE MAYO   2021</t>
  </si>
  <si>
    <t xml:space="preserve">%de avance Enero - 30 de Mayo  Meta año 2021 </t>
  </si>
  <si>
    <t>% de avance del programa a 30 de Mayo de   2021</t>
  </si>
  <si>
    <t xml:space="preserve">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fueron socilizados en el Comité Institucional de Gestión y Desempeño del  día 28 de abril y el 6 de mayo de 2021 , este comité fue ordinario No. 002. </t>
  </si>
  <si>
    <t>En el mes de mayo no se realizarron eventos deportivos debido a las medidas tomadas por el gobierno nacional y distrital con respecto al aumento de casos COVID-19 en el distrito de Cartagena de Indias.</t>
  </si>
  <si>
    <t xml:space="preserve">Se realizaron en el mes de mayo cinco (5) Escuelas para Padres , se beneficiaron de enero a mayo de 2021 a 487 campistas y se llevaron a cabo 54 sesiones de formación para el servcio social </t>
  </si>
  <si>
    <t xml:space="preserve">Por motivo de la nueva cepa que propaga con más fuerza la pandemia del COVID-19 continuamos realizando actividades virtuales en las diferentes Instituciones Educativas, videos tutoriales y actividades recreativas a través de las plataformas Facebook y Meet.
</t>
  </si>
  <si>
    <t>La estrategia Joven Saludable pasa a desarrollarse de forma virtual en este período, con videos tutoriales y transmisiones en vivo.
2. Se tiene a la fecha inscritos en la Plataforma Hércules un número de 3.104 usuarios.
3. Como medida preventiva según el del Decreto impartido por la Alcaldía, las clases de noches saludables retornaron a su horario habitual de 7:00PM a 8:00PM y de
8:00PM a 9:00PM.                                                                                                                                                                                                                                     4. Las clases de actividad física dirigida musicalizada en Centros Comerciales se suspendieron por motivo de los altos índices de contagio de la nueva cepa del
Covid-19, a través de Decreto de la Alcaldía del Distrito.</t>
  </si>
  <si>
    <t xml:space="preserve">Avance Meta Producto  (cuatrenio)  a 31 de Mayo  de 2021 </t>
  </si>
  <si>
    <t xml:space="preserve">AVANCE FINANCIERO A 31 DE  MAYO DE 2021 </t>
  </si>
  <si>
    <t>REPORTE EJECUCIÓN PRESUPUESTAL A 31 MAYO 2021</t>
  </si>
  <si>
    <t>% DE EJECUCION A 31 MAYO  2021</t>
  </si>
  <si>
    <t>% de avance en la meta de actividades a 31 de abril  de 2021</t>
  </si>
  <si>
    <t>REPORTE DE ACTIVIDADES DE   ENERO -31 DE MAYO   2021</t>
  </si>
  <si>
    <t>% de avance en la meta de actividades a 31 de mayo de 2021</t>
  </si>
  <si>
    <t xml:space="preserve">% AVANCE TÉCNICO DE LOS PROGRAMAS A 31 DE MAYO DE 2021  </t>
  </si>
  <si>
    <t xml:space="preserve">• Se corrige el documento de la propuesta de la red de conocimiento. Atendiendo los requerimientos del área de Jurídica en definir y aclarar las diferencias conceptuales entre red de conocimiento y centro de pensamiento. Dicho documento con sus respectivas correcciones será enviado a Jurídica para revisión final (avance de un 60% en la elaboración del documento).  
• Con relación a la propuesta del semillero de investigación, se realizó un avance de un 80% en su ejecución y se está esperando la revisión por parte del área de Jurídica para su legalización. Cumplido lo anterior a través del área de comunicaciones se dará inicio a la divulgación del semillero, para  proceder  a conformar las diferentes mesas de trabajo, mediante convocatoria pública.  De igual manera se adelantara una campaña, para que el personal de planta y contratistas del IDER, conozcan de qué se trata el semillero y cómo pueden participar.
• Se definió propuesta inicial del artículo de investigación con el equipo de Recreación: “analizar los beneficios (a nivel físico, sicológico y social) de las estrategias de actividad física comunitaria: madrúgale a la salud y noche saludable en la localidad 2 (la Virgen y Turística) de la ciudad de Cartagena” la cual fue socializada con profesores de la Universidad San Buenaventura, donde se definió el compromiso de dar inicio con la revisión de la literatura.
• Se recibió propuesta por parte de la Universidad de Cartagena para aunar esfuerzos en el desarrollo del segundo encuentro científico, dicha propuesta está siendo analizada.
</t>
  </si>
  <si>
    <t xml:space="preserve">• Los estragos de la pandemia, han hecho que se implemente la virtualidad, impidiendo el desarrollo de las actividades en forma presencial, que pudiera servir para aumentar el número de asistentes. 
• El hecho de que este proyecto este  presentando  deficiencia presupuestal de una de sus fuentes de financiación dificulta su buen desarrollo. Sin embargo se adelantan procesos de gestión y autogestión, para realizar acciones que permitan dinamizar su buen transcurrir.
</t>
  </si>
  <si>
    <t xml:space="preserve">• Se  concluyó elaboración del marco de antecedentes y marco  teórico.
• Se realizó avance del 30% en la elaboración del  marco de antecedentes o estado del arte
• Se realizó avance del 30% en la elaboración del  marco teórico conceptual
• divulgación con el acompañamiento del área de  comunicaciones de las diferentes actividades a realizar desde el proyecto de memoria.
• Se inició el desarrollo del cronograma  de las mesas de trabajo, para el diagnóstico y protocolo de identificación con la población segmentada. Correspondiéndole a los presidentes de las JAC de las tres localidades.
• Se realizó mesa de trabajo con la Secretaria de educación para el  diagnóstico y protocoló de identificación.
• Se realizó el I coloquio nacional del deporte, patrimonio e identidad. Con la participación de JUAN DE DIOS MOSQUERA, GISELLY LANDAZURI y ANDREINA CAROLINA ANAYA ESPINOZA               • Se identificó a los sabedores, pensadores y especialistas que conformarían el Comité de Patrimonio y Acervo Deportivo – CPAD para la caracterización de piezas patrimoniales.
• Se diseñó el instrumento para identificar las piezas de memoria y seleccionar las mismas.
</t>
  </si>
  <si>
    <r>
      <t xml:space="preserve">Se está adelantando el proceso de liquidación del convenio 878 correspondiente a la vigencia 2020, en el marco del cual se desarrollaron los Juegos Intercolegiados 2020. Se remitieron los documentos requeridos al Ministerio del Deporte y se está a la espera de recibir el acta de liquidación para su suscripción.
Para la realización de los Juegos Intercolegiados en el año 2021, se está preparando la documentación requerida por el Ministerio y está en proceso de revisión por parte del equipo de Deporte en acompañamiento de la Oficina Asesora Jurídica el cronograma de implementación. En el marco de este convenio se espera que el Ministerio aporte $73.584.283 y el instituto aporte $22.075.285, para un valor total aportado por ambas entidades de $95.659.568. Además se envió la carta invitación e intención de participación a los colegios del distrito de Cartagena.                    Se hizo una proyección de cronograma de actividades para Intercolegiados 2021 dependiendo de lo que va a aportar el ministerio.
 El día 22 de mayo se realizó desde las 7:00 am de manera virtual la primera </t>
    </r>
    <r>
      <rPr>
        <b/>
        <sz val="18"/>
        <color indexed="8"/>
        <rFont val="Arial Narrow"/>
        <family val="2"/>
      </rPr>
      <t>JORNADA DE ACTIVIDAD FÍSICA MUÉVETE CON LA RED</t>
    </r>
    <r>
      <rPr>
        <sz val="18"/>
        <color indexed="8"/>
        <rFont val="Arial Narrow"/>
        <family val="2"/>
      </rPr>
      <t xml:space="preserve">, con la participación de las siguientes universidades:
 Clase de tren inferior- universidad de Cartagena
 Clase e full body-universidad san buenaventura
 Clase de G.PA-universidad tecnológico de Bolívar
 Clase de aeróbicos-corporación universitaria Rafael Núñez
 Clase de rumba terapia-inst. etc.. Col mayor
 Clase de artes marciales mixtas- tecno. Comfenalco
</t>
    </r>
  </si>
  <si>
    <t xml:space="preserve">1. Iniciamos plan piloto para beneficiar el mayor número de parques con la estrategia actívate en el parque , con el fin de llevar el personal humano a los parque biosaludables y generar en las diferentes comunidades el habito de realizar actividad física a través de la modalidad de estimulación muscular con máquinas y con su propio peso, para el mes de junio le apuntamos a trabajar en la toma de evaluaciones y planes de entrenamientos los cuales les servirá a los usuarios para un correcto uso de las diferentes máquinas y de esta forma adaptarlo a la necesidad funcional de cada persona.
2. Luego de las visitas de inspección y seguimiento con juntas de acción comunal y líderes sociales de las comunidades dimos apertura de un total de 7 puntos relacionados en las diferentes localidades según la distribución de unidades comuneras de gobierno. Brúselas,San Francisco, Los Alpes, Santa Lucía, Huellas de Alberto Uribe, ciudad jardín, los calamares y Blas delezo. de acuerdo a lo planteado por cada prueba piloto tuvimos una aceptación de un aproximado de 80 personas en total en las diferentes jornadas ejecutadas con el fin de posicionar la estrategia. debido a las diferentes manifestaciones presentadas en la ciudad, tuvimos que aplazar algunas intervenciones tomándonos un poco más de tiempo la generación de fichas de inscripción y evaluación, la cual quedaron como meta para el mes de junio.
3. Las gaviotas, la concepción y el socorro son las comunidades en las que seguimos priorizando para fortaleces la estrategia Actívate en el Parque y de esta forma continuar nuestra oferta de servicio. </t>
  </si>
  <si>
    <t xml:space="preserve">Hemos tenido buena acogida con los eventos virtuales realizados en colegios e instituciones
educativas.
2. las actividades de persona mayor han disminuido por el alto número de personas que se abstienen de participar en actividades grupales ; por precaución, hasta que baje el pico de la pandemia o la alerta roja en la ciudad.
3. Este mes se cancelaron casi un 40 % de las actividades con Empresa Saludable, pues muchas de las programadas manifestaron casos positivos dentro de la empresa e iniciaron con todas les medidas de cercamiento epidemiológico, a la medida que le panorama mejore se retomaran todas las actividades y jornadas programadas con los mismos.
4. Los Tamizajes fueron suspendidos desde la segunda semana de abril y hasta la fecha siguen suspendidos, para respetar el distanciamiento y mantener los protocolos de bioseguridad establecidos por el gobierno nacional, ya se tiene listo la programación de los mismo,
5. En este mes se logró culminar con éxito la campaña del día mundial de la HTA Y de la lucha por espacios 100% libres de humo de tabaco, se visitaron 20 puntos de actividad física, llevando diferentes asesoría y brigadas de toma de presión arterial, adicional a esto los demás puntos participaron de forma activa, creativa y con excelente receptividad de los usuarios de la campaña en sus puntos de actividad física, también se generó contenido académico relacionado con las temáticas:
a. 18 de mayo taller de toma de presión arterial.
b. 22 mayo Encuentro académico llamado “La actividad física como factor protector de las enfermedades cardiovasculares “con unos excelentes facilitadores, representantes de la salud y de los temas tratados.
c. 29 de mayo cerramos con un conversatorio titulado “Deporte y recreación medios protectores para inhibir el consumo de tabaco” con excelentes facilitadores.
</t>
  </si>
  <si>
    <t>En el mes de mayo  se realizaron cinco (5)  campañas de sensibilización que tuvieron como objetivo educar y concientizar con a la población Cartagenera con relación a los protocolos de Bioseguridad frente al COVID-19, tales como el correcto lavado de manos, el uso adecuado del tapabocas, y el distanciamiento social en puntos estratégicos de concentración que son usados para la práctica recreo deportiva, impactando a una población de 400 personas.
Sin embargo, es importante resaltar que existen otras actividades dentro del proyecto “aprovechamiento del espacio público” que no se pudieron llevar a cabo como se evidencia en el formato anterior debido al surgimiento de un tercer pico epidemiológico de COVID-19.</t>
  </si>
  <si>
    <t xml:space="preserve">1. Por temas de COVID-19 se viene reforzando la atención a las comunidades por plataformas virtuales como complemento del componente nutricional por Facebook Live se transmite el taller "Cocineritos en Acción" con el acompañamiento de nuestra nutricionista, dos veces al mes.
2. Se realizaron 2 "Escuelas Interactivas" donde tuvimos un alcance de 4.324 personas y un total de reproducciones de 4792.
3. Capacitaciones talleres y juegos para padres, madres y cuidadores con un total de beneficiados de 343 personas.
4. En los talleres de nutrición y escuelas para padres se obtuvo un impacto de 229 personas adultas
5. En los talleres de actívate gestante se impactaron 34 mujeres adultas 
6. para el mes de junio se proyecta realizar 2 carnavales lúdicos y 1 encuentro de Actívate Gestante.
</t>
  </si>
  <si>
    <t>Se han venido realizando  mesas de  trabajo en la priorización y selección de los escenarios a construir en el segundo semestre de año 2021, tomando en cuenta  lo arrojada por la  ruta diagnóstica, el estado de titularidad de los predios .y el recurso incoprado a nuestro prespuesto en el mes de mayo de 2021 .</t>
  </si>
  <si>
    <r>
      <t>• S</t>
    </r>
    <r>
      <rPr>
        <sz val="18"/>
        <rFont val="Arial Narrow"/>
        <family val="2"/>
      </rPr>
      <t>e realizaron 98 Mantenimientos Preventivos Recurrente –MPR entre ellos 10 en unidades mayores, 37 medianos y 51 en menores.
• Se realizaron 43</t>
    </r>
    <r>
      <rPr>
        <sz val="18"/>
        <color theme="1"/>
        <rFont val="Arial Narrow"/>
        <family val="2"/>
      </rPr>
      <t xml:space="preserve"> visitas técnicas entre las que se encuentran las unidades deportivas de las zonas insulares                                                                          • Mesas de Trabajo 6 ( Nuevo Bosque 6ta etapa, Campo de Softbol Los Caracoles,Punta Canoa, Nuevo Bosque 2da Etapa (Tiki-Tiki), Navidad y Puerto de
pescadores, Simón Bolívar. .
•PQR: Se presentaron</t>
    </r>
    <r>
      <rPr>
        <sz val="18"/>
        <rFont val="Arial Narrow"/>
        <family val="2"/>
      </rPr>
      <t xml:space="preserve"> 9 respuestas.
•3 Formatos de Liberación de Actividades.
•Levantamientos Topográficos del unidades deportivas de Barú , Punta Canoa y
Martínez Martelo .                                                                                                                                                                                                                                                                                                      •Se realizaron 15</t>
    </r>
    <r>
      <rPr>
        <sz val="22"/>
        <rFont val="Arial Narrow"/>
        <family val="2"/>
      </rPr>
      <t xml:space="preserve"> FORMATOS DE CUMPLIMIENTO NORMATIVO, CONTROL DE CALIDAD, SALUD OCUPACIONAL d</t>
    </r>
    <r>
      <rPr>
        <sz val="18"/>
        <rFont val="Arial Narrow"/>
        <family val="2"/>
      </rPr>
      <t xml:space="preserve">e las unidades deportivas., para unj total a 31 de mayo de 30 formatos .
</t>
    </r>
  </si>
  <si>
    <t>•Se realizo la socialización del proyecto de los juegos afros con los líderes Greg Salgado y  el presidente de la JAC del barrio la  Candelaria, donde entre otros apartes se acordó que el día 25 de mayo, se estaría realizando una visita al polideportivo de la Candelaria; en la cual se cumplió  con la fecha acordada.                                                  • Se realizó visita e inspección al escenario deportivo en el barrio Villa Rubia donde se desarrollarán las competencias en los juegos afros, a la vez se socializo con el líder Jorge Simarra aspectos de los juegos.                                                                                                                                                                                                                                                        • Reunión virtual con todos los entrenadores que hacen parte del deporte adaptado, para socializar los juegos distritales de la discapacidad, escuchar sugerencias para el buen desarrollo de estos y llegar acuerdos sobre las competencias.</t>
  </si>
  <si>
    <t>• Se crea la Resolución No. 102 del 7 de mayo de 2021, “Por medio de la cual se publica la lista de los deportistas admitidos e inadmitidos posterior a la etapa de subsanación en la convocatoria pública dirigida a Atletas que aspiran a los estímulos de los Programas Institucionales de Apoyo a Deportistas Altos Logros (PADAL) y Futuros Ídolos del Deporte (PAFID).”                                                                                                                                                           • Se creó la resolución No 105 del 8 de mayo de 2021, “Por medio de la cual se publica el resultado definitivo de deportistas habilitados para evaluación en la convocatoria pública dirigida a los Atletas que aspiran a los estímulos de los Programas Institucionales de Apoyo a Deportistas Altos Logros (PADAL) y Futuros Ídolos del Deporte (PAFID)”. 
• No obstante, el 25 de mayo de 2021, se crea la resolución No. 111, “Por medio de la cual se corrige un estado y se adicionan unos deportistas a la lista definitiva de habilitados para evaluación en la convocatoria pública dirigida Atletas que aspiran a los estímulos de los Programas Institucionales de Apoyo a Deportistas Altos Logros (PADAL) y Futuros Ídolos del Deporte (PAFID). Es así que se tiene un total de 346 deportistas habilitados para la evaluación.                                                                   •RESOLUCIÓN No. 131(31 de mayo de 2021), “Por medio de la cual se publica el resultado de la evaluación de los logros deportivos y se establece aquellos deportistas que son beneficiados en la convocatoria pública dirigida a los Atletas que aspiran a los estímulos de los Programas Institucionales de Apoyo a Deportistas Altos Logros (PADAL) y Futuros Ídolos del Deporte (PAFID)”,. se beneficiaron a 268 deportitas .</t>
  </si>
  <si>
    <t>REPORTE EJECUCIÓN PRESUPUESTAL A 30 JUNIO 2021</t>
  </si>
  <si>
    <t xml:space="preserve">OBSERVACIONES JUNIO  2021   - https://1drv.ms/u/s!An_-YqStCA-JiGi2-vDjBXAmrYuU?e=boOoRO                                                                                                                                                                              </t>
  </si>
  <si>
    <t>REPORTE DE ACTIVIDADES DE   ENERO -JUNIO DE   2021</t>
  </si>
  <si>
    <t>% de avance en la meta de actividades a 30 de junio de 2021</t>
  </si>
  <si>
    <t>REPORTE META PRODUCTO  ACUMULADO 30 DE JUNIO  2021</t>
  </si>
  <si>
    <t xml:space="preserve">%de avance Enero - 30 de Junio  Meta año 2021 </t>
  </si>
  <si>
    <t>% de avance del programa a 30 de Junio de   2021</t>
  </si>
  <si>
    <t xml:space="preserve">% AVANCE TÉCNICO DE LOS PROGRAMAS A 30 DE JUNIO DE 2021  </t>
  </si>
  <si>
    <t xml:space="preserve">AVANCE FINANCIERO A 30 DE  JUNIO DE 2021 </t>
  </si>
  <si>
    <t>Se superviso en el mes de junio de 2021 ,   los entrenamientos de las personas con discapacidad realizadas por los docentes del programa de deporte social comunitario de forma virtual y presencial, esta supervisión y evaluación se hace todas las semanas. (Preparación a Juegos Distritales de la Discapacidadad) y motivarlos a que participen. 
Se realizó reunión de forma presencial con los deportistas de voleibol sentado y baloncesto en silla de ruedas para conversar tema de los juegos de la discapacidad y sugerencias. (8 y 10 de junio del 2021) Coliseo de Combate y Coliseo Norton Madrid.
El día 2 de Junio  del presente año, se llevó a cabo reunión presencial en la cual participaron el señor Luis Barboza , coordinador de Deporte Social Comunitario, nuestra compañera Marelys Chiquillo , el señor Gregorio Salgado, Livio Figueroa Padilla y presidentes de Asojac de las tres localidades, durante este encuentro como se observa en la fotografía, se socializaron  temas de los juegos Deportivos Comunales, tal como lo es el sistema de campeonato de los deportes de conjuntos (Fútsalón , Baloncesto, Kit bol, bate y tapita)   además se hizo entrega de las planillas de inscripción a cada localidad para que se llevara a cabo la inscripción de los deportistas.                                                                                                                                                                                                                                                                                                               El día 19 de Junio, se realizó el congresillo técnico con los diferentes directores técnicos de los deportes de conjuntos, de la localidad uno (Baloncesto, Futsalon, Kit bol, bate y tapita) también se explicaron sistemas , bases de campeonatos, siendo los moderadores de este encuentro  Roberto Sierra, Eder Sarmiento, Roger López y  Livio Figueroa Padilla,  también se trataron temas, como la escogencia de los escenarios deportivos, donde se realizaran las competencias e igualmente se escucharon todas y cada una de las propuestas y sugerencias de los participantes.                                                                                                                     El día 22 de Junio, se realizó el congresillo técnico con los diferentes directores técnicos de los deportes de conjuntos, de la localidad dos (Baloncesto, Futsalon, Kit bol, bate y tapita), también se explicaron  sistemas, bases de campeonatos, siendo los moderadores de este encuentro  Roberto Sierra, Eder Sarmiento, Roger López y  Livio Figueroa Padilla, además se trataron temas, como la escogencia de los escenarios deportivos, donde se realizaran  las competencias e igualmente se escucharon todas y cada una de las propuestas y sugerencias de los participantes.                                                                                                                   El día 29 de Junio, se realizó el congresillo técnico con los diferentes directores técnicos de los deportes de conjuntos, de la localidad tres (Futsalon, Kit bol, bate y tapita) también se explicaron  sistemas , bases de campeonatos, siendo los moderadores de este encuentro  , Marelys Chiquillo, Eder Sarmiento, Roger López y  Livio Figueroa Padilla,  también se trataron temas, como la escogencia de los escenarios deportivos, donde se realizaran  las competencias e igualmente se escucharon todas y cada una de las propuestas y sugerencias de los participantes.</t>
  </si>
  <si>
    <t xml:space="preserve">Se realizó una reunión con el equipo de trabajo de Deporte estudiantil, donde también asistió el coordinador de la escuela de iniciación y formación deportiva EIFD – IDER, para la divulgación de los referentes relacionados con los juegos Intercolegiados de esta vigencia 2021 – fecha 15 de junio de 2021 .                                                                                                                    Se asistió a la reunión socialización programa Intercolegiados 2021 convocada por el Ministerio del Deporte, donde se expusieron todos los aspectos referentes a los procesos de inscripciones para padres de familias y docentes de las instituciones educativas en deportes conjunto e individuales y las fases (municipal, departamental, regional y nacionales) con sus cronogramas y fechas respectivas   – fecha 29 de junio de 2021.                                                                                                                                                                                                                              Se adealantó  acciones para los procesos de inscripción de los estudiantes de las diferentes instituciones educativas del Distrito de Cartagenas, se tiene el cronograma para estas incripciones dada los el Ministerio del Deporte.
</t>
  </si>
  <si>
    <t>RESOLUCIÓN No. 135
(JUNIO 08 DE 2021)
“Por medio de la cual se establece una nueva fecha para publicar el resultado
definitivo de los deportistas beneficiados y se modifica el cronograma de la
convocatoria pública dirigida a Atletas que aspiran a los estímulos de los
Programas Institucionales de Apoyo a Deportistas Altos Logros (PADAL) y Futuros
                                                                                           Ídolos del Deporte (PAFID)” .                                                                                                                                                                                                                                                                                                                                                                                                                                                                                                                                                                RESOLUCIÓN No. 144
(11 de junio de 2021)
“Por medio del cual se publica el listado definitivo de los deportistas beneficiados
en la convocatoria pública dirigida a los Atletas que aspiran a los estímulos de los
Programas Institucionales de Apoyo a Deportistas Altos Logros (PADAL) y Futuros
Ídolos del Deporte (PAFID) y se dictan otras disposiciones”</t>
  </si>
  <si>
    <t xml:space="preserve">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fueron socilizados en el Comité Institucional de Gestión y Desempeño del  día 28 de abril y el 6 de mayo de 2021 , este comité fue ordinario No. 002. En el mes de juio se pubicará lo correspondiente al segundo trimestre de 2021 , se evaluara asi el primer semestre del año 2021 . </t>
  </si>
  <si>
    <t xml:space="preserve">Se llevaron cuatro eventos academicos en el mes de junio de 2021 , los cuales fueron los siguientes :                                                                                                                                         1.  Capacitación virtual Fundamentos del Entrenamiento Deportivo
2. Capacitación virtual Ética y Valores en el Deporte
3. Panel Virtual Deporte y Recreación como Ejes de Transformación Social
4. Segundo Coloquio Nacional de Deporte, Patrimonio e Identidad.                                                                                                                                                                                                                                                                                                                                                                                                                                                                                                                                                                                                  Se realizó acompañamiento para la convocatoria del Segundo Coloquio Nacional de Deporte, Patrimonio e Identidad del proyecto Memoria Histórica, realizado el día 9 de junio con la asistencia de 86 personas por plataforma virtual.                                                                                                                                                                                                           Se organizo y se realizó capacitación virtual Fundamentos del Entrenamiento Deportivo (3 ciclos) Dictada por el Lic. Jorge Tito Pérez; en cumplimiento del cronograma establecido por el Proyecto Divulgación y Apropiación Social del Conocimiento (DASC). Este evento se realizó el día 9 de junio y contó con una participación de 159 asistentes.                                                                                                                                                                                                                                                                                                     Se organizó y se llevó a cabo la capacitación virtual Ética y Valores en el Deporte dictada por la Lic. Angie Manjarrez; en cumplimiento del cronograma establecido por el Proyecto Divulgación y Apropiación Social del Conocimiento (DASC). Este evento se realizó el día 18 de junio. Contando con la participación de 122 asistentes.                                                                                                                                                                                                                                                                                                                                     Se organizó y realizó el Panel Virtual Deporte y Recreación como Ejes de Transformación Social Recreación.  Que contó con la presencia como ponentes de la Magister Idis Alfaro Ponce y la ex-deportista y licenciada en Educación Física Zorobabelia Córdoba Cuero; en cumplimiento del cronograma establecido por el Proyecto Divulgación y Apropiación Social del Conocimiento (DASC). Este evento se realizó el día 29 de junio. Contando con la participación de 69 asistentes.
</t>
  </si>
  <si>
    <t xml:space="preserve">Producto: Red de conocimiento científico a 30 de junio se tiene un avance gradual del 5% y en general se tiene un avance del 30% en total . Producto: alianzas a 30 de junio se tiene un avance gradual del 5% y en general se tiene un avance del 14% en total.Producto: Semillero de investigación a 30 de junio se tiene un avance gradual del 5% y en general se tiene un avance del 55% en total.Producto: Artículo científico a 30 de junio se tiene un avance gradual del 2% y en general se tiene un avance del 12% en total.Producto: Encuentro científico a 30 de junio se tiene un avance gradual del 10% y en general se tiene un avance del 35% en total. Producto: crónicas a 30 de junio se tiene un avance de 2 crónicas y en total se tiene un avance de 5%.Producto: banco de datos
Con respecto al producto del bando de datos, no se tuvo un avance debido a que el documento proyectado no cumple con los requerimientos establecidos en el proyecto. Actualmente estamos realizando acercamientos con el área de Sistemas para proyectar un nuevo documento con las necesidades del Instituto. Dado que se necesita apoyo técnico para el banco de datos.
</t>
  </si>
  <si>
    <t xml:space="preserve"> Se creo un nuevo núcleo de atención en Villa Estrella.                                                                                                                                                                                                                                                  En el mes de junio se realizaron diferentes actividades como las siguientes:                                                                                                                                                                                                   Celebración del cumpleaños de Cartagena en los diferentes puntos distribuidos en las tres localidades.
 Visitas y Seguimiento del equipo pedagógico a los diferentes puntos de las tres localidades para el cumplimiento y recepción de las diferentes inquietudes.
 Capacitación del equipo de docentes de énfasis y perfeccionamiento sobre planificación y estructuras del entrenamiento deportivo a cargo del asesor Jorge tito Pérez y equipo psicosocial, en compromiso para el fortalecimiento del desarrollo de las actividades con el programa.
 Reunión con el equipo coordinación sobre planificación de gran toma deportiva villa olímpica el día 24 de julio 2021 conmemoración del aniversario 13 de la EIFD.
 Apoyo del equipo de EIFD en las jornadas de Cartagena juega limpio al deporte, con la participación de algunos Núcleos, énfasis, visualizando los programas con la comunidad sobre el uso adecuado 
 Apoyo y participación en actividad de campaña de sensibilización y socialización para la erradicación del trabajo infantil, a través de los núcleos, énfasis y perfeccionamiento del programa. 
 Talleres de socialización con padres de familia y niños del programa, basado en la necesidad y requerimientos de cada grupo. 
 Participación en actividades institucionales “Salvemos a Cartagena”, donde se realizan inscripciones a los niños y niñas de las diferentes localidades. 
 Capacitación sobre principios y valores en el deporte, en apoyo al programa del observatorio del deporte y ciencias aplicadas, donde se visibiliza el programa y todos los procesos que se desarrollan a nivel pedagógico en el programa. 
 Acompañamiento psicosocial a casos específicos, de los padres de familia, niños y docentes de la EIFD.
</t>
  </si>
  <si>
    <t xml:space="preserve">RESOLUCIÓN No. 138
(Junio 09 de 2021)
“Por medio de la cual se amplían los términos para inscripción y se modifica el
cronograma de la convocatoria pública para la entrega de apoyos a organismo                                                                                                                                                                                         deportivos que tengan jurisdicción en Cartagena de Indias D.T. y C., en la vigencia 2021 " .                                                                                                                                                                                                                                                                                                                                                                                                                                                            .                                                                RESOLUCIÓN No. 155
Del 21 de junio de 2021
“Por medio de la cual se publica la totalidad de solicitudes recepcionadas en la
convocatoria pública para la entrega de apoyos a organismos deportivos que  tengan jurisdicción en Cartagena de Indias D. T. y C., en la vigencia 2021”.                  RESOLUCIÓN No 163
(JUNIO 24 DE 2021)
“Por medio de la cual se publica la totalidad de solicitudes recepcionadas en la
convocatoria pública para la entrega de apoyos a organismos deportivos que
tengan jurisdicción en Cartagena de Indias D.T. en la vigencia 2021”
</t>
  </si>
  <si>
    <t>RESOLUCIÓN No. 138
(Junio 09 de 2021)
“Por medio de la cual se amplían los términos para inscripción y se modifica el
cronograma de la convocatoria pública para la entrega de apoyos a organismo                                                                                                                                                                                         deportivos que tengan jurisdicción en Cartagena de Indias D.T. y C., en la vigencia 2021 " .                                                                                                                                                                                                                                                                                                                                                                                                                                                            .                                                                RESOLUCIÓN No. 155
Del 21 de junio de 2021
“Por medio de la cual se publica la totalidad de solicitudes recepcionadas en la
convocatoria pública para la entrega de apoyos a organismos deportivos que  tengan jurisdicción en Cartagena de Indias D. T. y C., en la vigencia 2021”.                  RESOLUCIÓN No 163
(JUNIO 24 DE 2021)
“Por medio de la cual se publica la totalidad de solicitudes recepcionadas en la
convocatoria pública para la entrega de apoyos a organismos deportivos que
tengan jurisdicción en Cartagena de Indias D.T. en la vigencia 2021”</t>
  </si>
  <si>
    <t>Se realizron en el mes de junio de 2021  cinco (5) Vías  Recreativas  intervenidas en diferentes barrios que beneficiaron a 208 personas y se realizaron seis (6) Ciclopaseos que beneficiaron a 146 personas , para un total de beneficiados de 354 en el mes de junio de 2021.                                                                                                                En el mes de junio se realizaron tres campañas pedagógicas, en el marco de la semana de la  bici que tuvieron como objetivo las normas de tránsito, promoción y uso seguro de la bicicleta, impactando a una población de 210 personas. De igual manera se realizaron dos campañas del respeto a la población cartagenera con relación a los protocolos de Bioseguridad frente al COVID-19, tales como el correcto lavado de manos, el uso adecuado del tapabocas, y el
distanciamiento social en las estaciones de Transcaribe impactando a una población de 187 personas.</t>
  </si>
  <si>
    <t xml:space="preserve">Se realizaron en el mes de junio  cuatro (4) Escuelas para Padres , se beneficiaron de enero a junio  de 2021 a 497 campistas y se llevaron a cabo 74 sesiones de formación para el servcio social </t>
  </si>
  <si>
    <t>Se llevaron a cabo en el mes de junio de 2021  , las siguientes actividades :                                                                                                            
 Ocho (8) Talleres nutricionales y de pautas de crianza amorosa.  Dos (2)  Talleres sobre el cuidado, hábitos de
vida saludable y estimulación temprana . 1. Por medio de plataformas virtuales se adelanta estrategias como son "Escuelas Interactivas"
donde tuvimos un alcance de 3.209 personas y un total de reproducciones de 1974 en 2 transmisiones en vivo.
2. Capacitaciones en talleres y juegos para padres, madres y cuidadores con un total de
beneficiados de 126 personas.
3. Se adelantaron 2 talleres de nutrición con la estrategia Cocineritos en acción, 4 Escuelas para
padres y 2 talleres de Nutrición, para un total de 332 personas beneficiadas, para un total de
8 intervenciones.
4. En 2 talleres de Actívate Gestante se impactaron 18 mujeres adultas.</t>
  </si>
  <si>
    <t>En el mes de junio se realizaron actividades que beneficiaron lo siguiente : A 65 personas mayores, 647 personas participantes
en las Instituciones Educativas, grupos organizados de adolescentes y jóvenes, Hogares Comunitarios y/o CDI , 149 personas participantes
en eventos con la alcaldía  distrital.
Debido a las restricciones por el COVID-19 las estrategias de Estaciones Recreativas, Vacaciones Recreativas, Persona Mayor Nuevo Comienzo, se han visto afectada, por el aforo que emiten las mismas, se han realizado algunas actividades como talleres creativos para el adulto mayor y taller recreativo que han permitido un aforo mínimo teniendo presente los protocolos de bioseguridad para la ejecución de las mismas.</t>
  </si>
  <si>
    <t xml:space="preserve">En este mes se iniciaron jornadas en el Centro Penitenciario y Carcelario de EPCC San Sebastián de Ternera impactando en cuatro (4) jornadas Recreo-deportivas a 74 personas privadas de la libertad, a su vez fueron suspendidas las entradas por la muerte de un dragoneante del INPEC por COVID-19, seguido al aumento de casos de contagio dentro del Centro Penitenciario.2. El Centro de Acondicionamiento Físico se encuentra en periodo de remodelación y
modernización a la espera de su apertura. 3. Hemos tenido buena acogida con los eventos virtuales realizados en colegios e instituciones
educativas, han bajado un poco los eventos con las instituciones públicas ya que se encuentran en Paro Nacional, pero seguimos ofertando nuestro proyecto a los colegios privados de la Ciudad. 4. Este mes se cancelaron casi un 30% de las actividades con Empresa Saludable, pues muchas de las programadas manifestaron casos positivos dentro de la empresa e iniciaron con todas  les medidas de cercamiento epidemiológico, a la medida que le panorama mejore se
retomaran todas las actividades y jornadas programadas con los mismos. 5. Los Tamizajes con los grupos de persona Mayor se han retomado pausadamente , manejando todo el protocolo de Bioseguridad, ha sido difícil organizar eventos con ellos , pues muchos hacen parte de la secretaria de Participación y varias coordinadoras manifestaron tener orden directa de no realizar ningún tipo de actividades con los GO de persona mayor, esperando
que la tercera ola COVID-19 baje y salgamos de alerta roja para dar inicio a todos los eventos que tenían planeados con ellos, también se coordinó reunión con secretaria de Participación y Desarrollo social. 6. para mirar estrategias de abordaje a esta población, estamos en espera de autorización para
iniciar los tamizajes en los puntos de actividad física, ya se tiene listo el cronograma para retomar los tamizajes en los puntos de actividad física. </t>
  </si>
  <si>
    <t>Por medio de mesas de trabajo se reestructuro la Estrategia “Actívate en el Parque con el  IDER” de forma que cada parque biosaludable sea impactado de manera presencial dos veces por semana, posibilitando así mayor seguimiento de las asesoría y supervisión de las inscripciones, valoraciones y rutinas, además de los planes de entrenamiento de parte del profesor de actividad física hacia nuestros usuarios.</t>
  </si>
  <si>
    <t>1. Se retomaron con gran aceptación y convocatoria en los centros comerciales nuestras clases de actividad física dirigida musicalizada de las estrategias Madrúgale a la Salud y Noches Saludables.
2.. La estrategia Joven Saludable en el período de 1 al 30 de junio del año en curso se siguió desarrollando de forma virtual, con clases a través de la Plataforma Facebook Live con dos transmisiones a la semana, para un total en el mes de 9 transmisiones, alcanzando un número de reproducciones de 11.228.
3. La Estrategia Joven Saludable durante los meses de mayo y junio desarrolló Festi-valores. Actividad que permitió de manera exitosa, brindar a los niños, niñas y jóvenes de las Instituciones educativas del Distrito de Cartagena, jornadas de actividad fisca, danza y recreación enfocadas al reconocimiento de valores, practicas corporales y saludables a través de plataformas virtuales. A través de Festi-valores se logro impactar a 1.135 niños y niñas de 9 instituciones educativas del Distrito. Las instituciones educativas son: Colegio Seminario, COMIALCO (varias sedes), Institución Educativa Guadalupe, Fundación Renacer, Gimnasio  Americano The Children´s House, Colegio San Nicolás de la Roca.</t>
  </si>
  <si>
    <t>Se realizan intervenciones 139 unidades deportivas (10 Mayores +
41 Medianas + 88 Menores) en términos Mantenimientos Preventivos
Recurrentes. Se  realizarón 16 FORMATOS DE CUMPLIMIENTO NORMATIVO, CONTROL DE
CALIDAD, SALUD OCUPACIONAL de las unidades deportivas.
La meta es lograr presentar 110 auditorias continuas (monitoreo continuo) para
final de año.
Visitas Técnicas 12
Mesas de Trabajo 6 ( Universidad San Buenaventura -CAR-, Urbanización Simón
Bolívar -Sacúdete al Parque-, Nvo. Bosque 2da Etapa -Tiki Tiki-, Navidad y Puerto
de Pescadores, CIC Pozón -Grupo Social-, Emmanuel).
6 Formatos de Liberación de Actividades.
Levantamientos Topográficos de 4 unidades deportivas.  Se encuentra  en  pre-pliegos  41 escenarios deportivos que se realizara mantenimiento en el segundo semestre de 2021 .</t>
  </si>
  <si>
    <t>Se realizará el escenario de Olaya Sector Central  y Villa Rubia  , en el segundo semestre del 2021 . Se empezó en el mes de junio la formulación del Proyecto de Construcción de Campo de Softbol  en Tierra Baja  por valor de 1.200 millones de pesos que podrian ser finanaciados con  recursos de incentivos a la producción, el cual se  presentará a través de la OCAD PAZ .</t>
  </si>
  <si>
    <t>Producto: DOCUMENTO DIAGNÒSTICO Y DE VALORACIÓN
Se realizó corte y análisis de encuesta piloto aplicada a 166 personas. Con base en ello se ajustó cronograma de trabajo e instrumento cuantitativo. 
Por consiguiente, a corte de 30 de junio no se tiene un avance gradual porcentualmente si no en gestión pues se hicieron ajustes para eficacia del levantamiento de datos y a fin de optimizar el proceso y en general se tiene un avance del 30% en total, finalizada la etapa 1 y en desarrollo de la etapa 2. 
Producto: protocolo de identificación del patrimonio
Se revisaron los primeros resultados y ajustaron instrumentos, finalizó la etapa 1. Y en desarrollo de la etapa 2
Por consiguiente, a corte de 30 de junio no se tiene un avance gradual porcentualmente si no en gestión pues se hicieron ajustes para eficacia del levantamiento de datos y a fin de optimizar el proceso y en general se tiene un avance del 22.5% en total, finalizada la etapa 1. y en desarrollo de la etapa 2 
Producto: 4 fichas de caracterización 
Una vez se tenga el protocolo de identificación y la identificación de las fichas iniciará el proceso de caracterización, ya que no se puede caracterizar aquello que aún se está identificando.
Producto: 3 actas de preservación y conservación del Acervo deportivo de la ciudad y el departamento
Una vez se tenga el protocolo de identificación y la identificación de las fichas iniciará el proceso de preservación y conservación, ya que primero hay que identificar las piezas.
Producto: 3 Piezas de Memoria
Con el levantamiento de datos y la implementación de instrumentos se inicia la identificación de las piezas y habiendo aplicado los instrumentos a un 30 % de la muestra nos arroja una identificación parcial, que puede cambiar una vez se finalice la implementación y se tabule la misma.
Producto: 5 coloquios sobre Acervo deportivo
El 9 de junio se realizó el segundo coloquio nacional llamado Cartagena y su concepción de Patrimonio desde el deporte, esto en el marco de la agenda de ciudad del cumpleaños de Cartagena, este evento contó con la participación de dos grandes deportistas cartageneros con amplia trayectoria en el tema como Cecilia Bahena expatinadora y múltiple campeona mundial e Israel Tovio, maestro FIDE de ajedrez.</t>
  </si>
  <si>
    <t xml:space="preserve">Avance Meta Proyecto    a 31 de Marzo  de 2021(actividades) </t>
  </si>
  <si>
    <t>Avance Meta proyecto   a 30 de Junio de 2021 (actividades)</t>
  </si>
  <si>
    <t>REPORTE DE ACTIVIDADES DE   ENERO -JULIO  DE   2021</t>
  </si>
  <si>
    <t>% de avance en la meta de actividades a 31 de julio de 2021</t>
  </si>
  <si>
    <t>Avance Meta proyecto   a 31 de Julio de 2021 (actividades)</t>
  </si>
  <si>
    <t xml:space="preserve">OBSERVACIONES JULIO  2021   - https://1drv.ms/u/s!An_-YqStCA-JiGi2-vDjBXAmrYuU?e=boOoRO                                                                                                                                                                              </t>
  </si>
  <si>
    <t xml:space="preserve">AVANCE FINANCIERO A 31 DE  JULIO DE 2021 </t>
  </si>
  <si>
    <t xml:space="preserve">AVANCE DE LA META DE BIENESTAR-JUNIO 2021 </t>
  </si>
  <si>
    <t xml:space="preserve">AVANCE DE LA META DE BIENESTAR-JULIO 2021 </t>
  </si>
  <si>
    <t>REPORTE META PRODUCTO  ACUMULADO 31 DE JULIO  2021</t>
  </si>
  <si>
    <t xml:space="preserve">%de avance Enero - 31 de Julio  Meta año 2021 </t>
  </si>
  <si>
    <t>% de avance del programa a 31 de Julio de   2021</t>
  </si>
  <si>
    <t xml:space="preserve">% AVANCE TÉCNICO DE LOS PROGRAMAS A 31 DE JULIO  DE 2021  </t>
  </si>
  <si>
    <t>El IDER prestó apoyo  logístico a la realización de La III Valida  Nacional 2021 (Squash), la cual se  realizó desde el viernes 25 al domingo 28 de junio de 2021, en las canchas de el “Complejo de Raquetas” ubicado en la calle 29b # 17-22, Cartagena, Bolívar. Este evento se  aplicaron los  Protocolos de Bioseguridad  y las medidas establecidas por el Gobienro Nacional y Distrital.</t>
  </si>
  <si>
    <t>Se inicia con la primera fase del cronograma que corresponde a llevar a cabo las
inscripciones, la cual se amplio hasta el 31 de agosto de 2021.
Se envió a la prensa toda la información de las inscripciones para ser distribuida en las
redes sociales.
Se enviaron correos a los docentes de las distintas instituciones educativas, con la
información necesaria para que realicen sus inscripciones.
 Se atendio la invitación por parte del Ministerio de Deporte a la socialización programa juegos Intercolegiados 2021 el día 12 y 23 de julio de 2021.
Se realió reunión con IDERBOL con el fin de concretar las fechas de inscripciones, el dia 19 de julio de 2021.</t>
  </si>
  <si>
    <t>Teniendo en cuenta el plan de acción del año 2021 para el segundo semestre se viene realizando los acercamientos con líderes, presidente de JAC y comunidad en general, para brindar la información sobre la apertura de las inscripciones del segundo semestre que se llevaran a cabo del 1 al 31 de agosto del 2021 en los niveles de Iniciación y Formación. Los niveles de Énfasis y Perfeccionamiento no tendrán inscripciones nuevas, debido a que los NNA que cumplieron serán evaluados y promovidos a estas etapas, respetando los procesos sistematizados de la EIFD.
Este mes de julio continuamos con las capacitaciones de los docentes sobre planificación y trabajo en equipo a cargo del equipo pedagógico y psicosocial, de esta manera seguimos con nuestras reuniones semanales todos los jueves a las 11 am, donde se socializan las actividades programadas para el mes y el seguimiento de esta.
En el mes de julio se realizaron dos (2) encuentros deportivos, los cuales fueron: encuentro deportivo de Beisbol, realizado en el escenario Estadio 11 de noviembre Abel Leal, en los días 23 al 25 de julio, donde se contó con la participación de delegaciones de las ciudades de Montería, Barranquilla y Cartagena, junto con los deportistas de la etapa de perfeccionamiento de la EIFD. El segundo encuentro deportivo se realizó el di 31 de julio en la Villa Olímpica, en el cual se conmemoró los trece (13) años de la EIFD, tuvo como temática principal el rescate de los juegos tradicionales.</t>
  </si>
  <si>
    <t xml:space="preserve">El día 26, en el complejo de raquetas, se le presento a la directora y a los funcionarios de la oficina de comunicación, el cronograma de actividades que desarrollara el PROGRAMA DEPORTE SOCIAL COMUNITARIO.                                        ACTIVIDADES PROYECTO JUEGOS INDIGENAS:
Actividad realizada el día 16 de Julio de 2021.
Socialización con Autoridades Indígenas de Pasacaballos -Robinson Martínez, Bayunca - Álvaro Bula y Carlos, así como la autoridad del cabildo Zenú de Membrillal Domingo Ruiz, acerca de la propuesta entregada por jefes de Cabildos antes mencionados y el avance que ha tenido la Institución con actividades en los Cabildos.                     Actividad realizada el día 21 de Julio de 2021  Socialización con las autoridades Indígenas de todos los Cabildos, para adelantar actividadesRecreo- Deportivas dentro de los territorios asentados durante la primera semana del mes de agosto.                           Actividad realizada el día 30 de Julio de 2021
Reunión con Nelson Salas cabildo Kankuamo para definir actividades deportivas dentro de su asentamiento indígena preliminares a la fase de convocatoria e Inscripción.                                                                 ACTIVIDADES PROYECTO JUEGOS COMUNALES:
Actividad realizada el día 5 de Julio
Nos reunimos en las instalaciones del IDER, los contratistas Marelys Chiquillo, Dayanis Rodríguez,
Eder Sarmiento, Roger López, Roberto Sierra y Livio Figueroa Padilla, con la finalidad de tratar
temas correspondientes, como la asignación de responsabilidades que cada uno como coordinador
debe aplicar en los deportes de conjunto, dentro de los juegos comunales 2021.
Actividad realizada el día 13 de Julio
En la fecha descrita arriba, en las instalaciones del IDER los contratistas del instituto (IDER) Marelys
Chiquillo, Dayanis Rodríguez y Livio Figueroa Padilla, ejercimos las funciones de recepcionar,
organizar y recibir las planillas de inscripciones de los deportes de conjuntos, presentadas por los
coordinadores asignados en las localidades 1, 2 y 3 de la ciudad.
Es importante manifestar, que se creó una base de datos, con los nombres de los diferentes
deportistas, inscritos en los diversos deportes de conjuntos, con la finalidad de llevar un orden y
ponerlo en conocimiento de las personas pertinentes, para posteriormente ser cargados en la
plataforma Hércules, plataforma asignada a dichos juegos.
</t>
  </si>
  <si>
    <t xml:space="preserve">Actividad realizada el día 21 de Julio
El día 21 de Julio, la contratista Marelys Chiquillo, en la Biblioteca Distrital de la localidad 3 recibió documentación de parte del coordinador de la localidad mencionada. Actividad realizada el día 29 de Julio Durante este día, se llevó a cabo socialización de los juegos comunales, en el complejo de raquetas, cronograma de actividades, con la participación de los presidentes de ASOJAC de las 3 localidades y coordinadores de deportes de las mismas, presidida por el grupo de coordinadores de los juegos comunales del IDER, donde presentamos nombres de los equipos participantes de las localidades, en los deportes de conjuntos (Futsalon, baloncesto, kitbol bate y tapita) e igualmente se presentó informe del ministerio del deporte, el cual contiene cronograma de la realización de los juegos objeto del asunto, de conformidad con la prorrogación solicitada del IDER ante esta entidad.                                                                             ACTIVIDADES PROYECTO JUEGOS CORREGIMENTALES
Durante este periodo, hemos trabajado en un presupuesto alternativo ajustado e se ha realizado un estudio minucioso de la adjudicación del desarrollo de la estrategia de los juegos corregimentales. Se realizo la escogencia de los monitores deportivos de los corregimientos quienes servirán de enlaces entre sus comunidades y el IDER. Se realizo reunión virtual de socialización con el equipo de trabajo IDER y los monitores de loscorregimientos, donde se socializo el cronograma de actividades que se estará realizando en este proyecto. (23 de julio de 2021.                                                                                                                                                                                                                                                       ACTIVIDADES PROYECTO JUEGOS DISCAPACIDAD
Durante todo el mes de julio se supervisan los entrenamientos de las personas con discapacidad realizadas por los docentes del programa de deporte social comunitario de forma virtual y presencial,esta supervisión y evaluación se hace todas las semanas en los deportes de futbol, boccia, atletismo, natación, baloncesto en silla de ruedas y voleibol sentado. (Preparación a Juegos Distritales de la Discapacidad).                                                                                                                                                                                                                   Reunión presencial de socialización con el equipo de voleibol sentado, para organizar su participación en los juegos distritales de la discapacidad, escuchar sugerencias y socialización del sistema de juego, fechas de inicio de los mismos, participaron los deportistas, con el entrenador Nicolás Martínez y Glenda Guzmán (9 de julio del 2021)      Reunión presencial con entrenadores del programa de deporte social comunitario y equipo de apoyo para socializar y organizar una actividad recreo deportiva para personas con discapacidad en el Barrio Huellas Alberto Uribe con el apoyo de la junta de acción comunaldel mismo, en dicha reunión participaron los entrenadores Walfran Ramos, Alfonso Correa,Ronald Suarez, Ricardo Nhaick, Nicolás Martínez, Álvaro Hernández, Oscar Peñuela y Glenda Guzmán (16 de julio del 2021 en el Coliseo Northon Madrid) .                                                                                                      Taller de Lengua de Señas Colombiana, vocabulario deportivo el cual fue dirigido a los entrenadores y equipo de discapacidad que estarán en la organización de los Juegos
Distritales de la discapacidad, este taller se realizó con el objetivo de brindar una mejoratención a las personas con discapacidad en los juegos y en todo su proceso deportivo
participaron los entrenadores de futbol auditivo (walfran Ramos),voleibol sentado (Nicolas Martínez), Ronald Suarez (Paranatacion), boccia (Alfonso Correa), Goalball (Miladis
Pomares), baloncesto en silla de ruedas ( Ricardo Naick), Álvaro Pereira (Futsala auditivo) Eder Torres (Futsala Auditivo), Kenrry Sanmiguel (Para atletismo), José Padilla (baloncesto
auditivo), Julio Espinosa (Ajedrez) Luis Acevedo (bolos), Rafael Cassiani y el equipo de apoyo Oscar Peñuela, Paddy Montes, Gilma Idárraga y Glenda Guzmán (30 de julio del
2021).                                                                                                                                                                                                                                                   ACTIVIDADES PROYECTO AFRO
El día 14 de julio se desarrolló una reunión virtual con el area de Comunicaciones, Paola Cabarcas y Angela Mulet además fue invitado el compañero Eder Sarmiento y Arnoldo Julio, Coordinadora del programa Afro donde se definieron las estrategias de publicidad para el programa se definió elaborar un video de promoción y se estableció la información a publicar en la página para invitar a las comunidades a inscribirse en el proyecto Afro, además se estableció revisar la información completa del proyecto en una próxima reunión para poder subir la invitación a los juegos.                    </t>
  </si>
  <si>
    <t>En el mes de julio de 2021, se realizaron  3 actividades para un total de 293 beneficiados en la apropiación social del conocimiento.                                                                                                                                                                                                                                                                                                                                                                                                                                                                                                                                        Realización y seguimiento panel virtual Historia del olimpismo “el protagonismo de cartageneros y Bolivarenses”, actividad que fue desarrollada el día 22 de Julio de la presente anualidad de acuerdo con el cronograma establecido durante el mes de julio con asistencia de 91 personas, el apoyo de la oficina de prensa - de sistemas y la ponencia de:Realización y seguimiento:    William Marrugo Torrente – Jefe de Fomento Deportivo
Alfonso Pérez Torres - Nuestro Primer Medallista Olímpico
Jorge Tito Pérez – Entrenador Olímpico
Dais Hernández – Moderadora                                                                                                                                                                                                                                                                                                                                                                                                                                                                                                                                                                                                                                                                                                                                                              Charla Odontología y deporte “Rendimiento, autoestima y calidad de vida” , actividad que fue desarrollada el día 27 de Julio de la presente anualidad de acuerdo al cronograma establecido durante el mes de julio con un asistencia de 85 personas, el apoyo de la oficina de prensa - de sistemas y la ponencia de:
Andrés Mauricio Pineda Hernández – Odontólogo UDC
Raúl Alberto Acosta Herazo – Ingeniero Industrial UDC                                                                                                                                                                                                                                                                                                                                                                                                                                                                                                                                                                                                                                                                                                      Realización y seguimiento el Rol de los padres de familia en el proceso deportivo, actividad que fue desarrollada el día 30 de Julio de la presente anualidad de acuerdo al cronograma establecido durante el mes de julio con un asistencia de 117 personas, el apoyo de la oficina de prensa - de sistemas y la ponencia de:
Tania Sarabia Quintero – Psicóloga especialista de en psicología clínica, actualmente se desempeña como psicóloga de EIFD – IDER.</t>
  </si>
  <si>
    <t xml:space="preserve">Producto: DOCUMENTO DIAGNÒSTICO Y DE VALORACIÓN
Se realizó des grabación de grupos focales correspondiente a la etapa 3. Con base en ello se empezaron a estructurar categorías de análisis. Por consiguiente, a corte de 30 de julio se tiene un avance gradual porcentual del 6% por ciento y un avance total del 36% en gestión se hicieron ajustes para eficacia del levantamiento de datos y a fin de optimizar el levantamiento de datos, pendiente el cierre de la etapa 2 y finalización de la etapa 3 para el mes de agosto.                                                                                                                                                                                                           Producto: protocolo de identificación del patrimonio
Se desgrabaron los grupos focales en la etapa 3, finalizó la etapa 1. Y se espera finalizar etapa 2 y 3 en el mes de agosto la etapa 2. Por consiguiente, a corte de 30 de julio se tiene un avance gradual porcentual del 8% en gestión se hicieron ajustes para eficacia del levantamiento de datos y a fin de optimizar el proceso y en general se tiene un avance del 30.5% en total, finalizada la etapa 1 y con avances en la etapa 3.Producto: 4 fichas de caracterización Una vez se tenga el protocolo de identificación y la identificación de las fichas iniciará el proceso de caracterización, ya que no se puede caracterizar aquello que aún se está identificando.                                                                                                                                                                                                                      Producto: 3 actas de preservación y conservación del Acervo deportivo de la ciudad y el departamento
Una vez se tenga el protocolo de identificación y la identificación de las fichas iniciará el proceso de preservación y conservación, ya hay un listado preliminar, producto de los grupos focales por ello se avanza en la convocatoria de especialista en patrimonio, con la proyección de las cartas de invitación para realizar el primer comité en el mes de septiembre. Con los siguientes especialistas:                       Producto: 3 actas de preservación y conservación del Acervo deportivo de la ciudad y el departamento
Una vez se tenga el protocolo de identificación y la identificación de las fichas iniciará el proceso de preservación y conservación, ya hay un listado preliminar, producto de los grupos focales por ello se avanza en la convocatoria de especialista en patrimonio, con la proyección de las cartas de invitación para realizar el primer comité en el mes de septiembre. Con los siguientes especialistas:                                                                                                                                                                                                                                                                                                                        1. Especialista en patrimonio solicitado al IPCC
2. Especialista en deporte del IDER
3. Directora del IDER                                                                                                                                                                                                                                                                  4. Historiador solicitado al MUHCA
5. Representante de medios solicitado a la asociación de periodistas
6. Representante de educación solicitado a secretaria de Educación
7. Especialista en conservación del Patrimonio solicitado a Escuela Taller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</si>
  <si>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les debe realizar realizar segumiento a estos planes los primeros días de julioo sobre el avance del segundo trimestre y su seguimiento del primer semestre del año.</t>
  </si>
  <si>
    <t xml:space="preserve">Producto: Red de conocimiento científico a 30 de julio se tiene un avance gradual del 10% y en general se tiene un avance del 40% en total                                                                                             Producto: alianzas a 30 de julio se tiene un avance gradual del 0% y en general se tiene un avance del 14% en total.                                                                                                                 Producto: Semillero de investigación a 30 de julio se tiene un avance gradual del 5% y en general se tiene un avance del 60% en total.                                                                                                 Producto: Artículo científico a 30 de julio se tiene un avance gradual del 8% y en general se tiene un avance del 25% en total.                                                                                                                 Producto: Encuentro científico a 30 de julio se tiene un avance gradual del 2% y en general se tiene un avance del 37% en total.                                                                                                    Producto: banco de datos a 30 de julio se tiene un avance gradual del 0% y en general se tiene un avance del 20% en total.                                                                                                                   Producto: crónicas a 30 de julio se tiene un avance de 0 crónicas y en total se tiene un avance de 4 cronicas en el primer semestre de 2021.                                                                                                                    </t>
  </si>
  <si>
    <t>Con la convocatoria pública de estimulos a Deportitas de Altos Logros(PADAL) y Futuras Idolos del deporte , se benefiaron 263 deportitas de los cuales renunciaron 2 , para un total de 261 deportitas beneficiados.</t>
  </si>
  <si>
    <t>• Se beneficiaron entre los meses de enero a junio del año 2021 a 1 2.177 personas distribuidas así: en el mes de enero a 679 personas, en febrero a 874 personas, en marzo a 1.896 personas, en abril 3.118 personas ,  mayo 3.328 personas y junio 2.282  (Deportistas, Entrenadores (Clubes y ligas) y Aficionados).   Se mantuvo el cumplimiento de los protocolos de bioseguridad en los escenarios deportivos.</t>
  </si>
  <si>
    <t>El IDER prestó apoyo logístico a la realización de 5 eventos , los cuales son  los siguientes :Campeonato Nacional Interligas de Balonmano Playa , Torneo Nacional de Tenis Grado 3 Bolívar , Campamento Club Titans Voleibol, Copa Caribe de Rugby Subacuático, Copa Caribe de Levantamiento de Pesas En estos eventos  se  aplicaron los  Protocolos de Bioseguridad  y las medidas establecidas por el Gobienro Naciona y Distiral. Para un total de enero a julio de 6 eventos apoyados.</t>
  </si>
  <si>
    <t>REPORTE EJECUCIÓN PRESUPUESTAL A 31 JULIO 2021</t>
  </si>
  <si>
    <t>% DE EJECUCION A 31 JULIO  2021</t>
  </si>
  <si>
    <t>Se realizaron Nueve (9) Vías Recreativas  qe benefiaron a 370 personas y se desarrollaron  3 cilcopasesos  que beneficiaron a 38 personas . En periodo comprendido entre 01 al 31 de Julio se realizó una campaña pedagógica vial protección al ciclista, que tuvo como objetivo las normas de tránsito, promoción y uso seguro de la bicicleta, impactando a una población de 33 personas. Sin embargo, es importante resaltar que existen otras actividades dentro del proyecto “Aprovechamiento del espacio público” que no se pudieron llevar a cabo como se evidencia en el formato anterior debido al surgimiento de un tercer pico epidemiológico de COVID-19, y esperando la contratación de la logística, producción y materiales para poder ejecutar esas estrategias que van ligadas a los indicadores</t>
  </si>
  <si>
    <t xml:space="preserve">Se beneficiaron en este periodo a 510 campistas , se realizaron 99 sesiones de formación para el servicio social , se desarrollaron 3 módulos sore habilidades para la vida asi como también se llevaron a cabo 6 escuelas para padres. </t>
  </si>
  <si>
    <t>1. Por medio de plataformas virtuales se adelanta estrategias como son "Escuelas Interactivas" donde tuvimos un alcance de 4.517 personas y un total de reproducciones de 12.224 en 3 transmisiones en vivo.
2. Realizamos 2 capacitaciones en Talleres y juegos para padres, madres y cuidadores con un total de beneficiados de 60 personas.
3. Se adelantó 1 Taller de Nutrición con la estrategia cocineritos en acción, 5 Escuelas para padres, para un total de 504 personas beneficiadas, para un total de 6 intervenciones.
4. Se realizó Carnaval Lúdico en el corregimiento de Ararca para un total de 31 beneficiados.
5. En 10 talleres de actívate gestante se impactaron 191 mujeres adultas gestantes y lactantes.</t>
  </si>
  <si>
    <t xml:space="preserve">En el mes de julio se realizaron actividades que beneficiaron lo siguiente : A 92 personas mayores, 741 personas participantes
en las Instituciones Educativas, grupos organizados de adolescentes y jóvenes, Hogares Comunitarios y/o CDI , 375 personas participantes
en eventos con la alcaldía  distrital asi como también se realizaron 2 talleres  de técnica de recreación.
</t>
  </si>
  <si>
    <t>1. En el mes de Julio fueron suspendidas las actividades en los centros penitenciarios, ya dieron aval para retomar en agosto
2. El Centro de Acondicionamiento Físico se encuentra en periodo de remodelación y modernización (15) a la espera de su apertura.
3. Con el regreso a clases, ya se empezaron a reactivar jornadas con instituciones públicas y colegios privados, siendo nuestro primer aliado la oferta virtual.
4. En esta última semana del mes de Julio varias empresas que ya estaban programadas cancelaron debido a brotes de COVID-19 en sus trabajadores y algunos brotes virales de la época.
5. Los Tamizajes y jornadas de asesoría con los grupos de persona Mayor se han retomado de forma exitosa, manejando todo el protocolo de Bioseguridad, ya estamos programando para agosto puesto que en ese mes celebramos el mes de la persona mayor y la idea es cubrir lo más que podamos esa población, estamos en espera de autorización para iniciar los tamizajes en los puntos de actividad física, ya se tiene listo el cronograma</t>
  </si>
  <si>
    <t>1. En las estrategias de Hábitos y Estilos de Vida Saludable (Madrúgale a la Salud, Noches Saludables, Caminante Saludable, Actívate Running y Joven Saludable) presenta un aumento porcentual de un 6,8% de usuarios (302) respecto al mes anterior (junio), motivado por el aumento de los puntos de actividad física gracias al convenio MinDeporte-IDER, con el cual se están impactando 16 nuevas comunidades con 8 puntos de Madrúgale a la Salud y 8 de Noches Saludables (Getsemaní, Flor del Campo, El Pozón sector 14 de febrero, Villa Rosita, Villa Zuldany, La Florida sector César Flórez, La Carolina, Olaya Herrera sector 11 de Noviembre, Las Lomas, Crespo Barrio Militar, La Española, La Concepción, Villas de Aranjuez, Blas de Lezo Parque de la Virgen, Nueva Granada y El Mirador de Zaragocilla).
2. Se tiene inscritos a fecha 30 de julio de 2021 un total de 3.425 usuarios en la Plataforma Hércules.
3. En los centros comerciales nuestras clases de actividad física dirigida musicalizada de las estrategias Madrúgale a la Salud y Noches Saludables han impactado en promedio a un total de 283 usuarios.
4. Se realizo el día 24 de julio un evento de concentración de la Estrategia Caminante Saludable en un recorrido desde el Barrio Manga-Parque de La Marina-Manga impactando a un total 62 usuarios.
5. En el mes se impacto de manera virtual el proyecto de mejoramiento de los estilos de vida mediante la promoción masiva de una vida activa, en Hábitos y Estilos de Vida Saludable, en sus estrategias: Madrúgale a La Salud (42.400 reproducciones y 352 personas en vivo), Noches Saludables (26.906 reproducciones y 232 personas en vivo), Joven Saludable (82.000 reproducciones y 331 personas en vivo) y en la Súper Clase de actividad física (229 reproducciones).
6. Se realizo el día 25 de julio un evento de concentración de la Estrategia Actívate Running en un recorrido sobre el Viaducto El Gran Manglar impactando a un total 60 usuarios.</t>
  </si>
  <si>
    <t>A la fecha se realizó proceso de inscripción y evaluación a 129 usuarios en los parques biosaludables priorizados de las comunidades de Bruselas, Los Calamares, Los Alpes, Santa Lucía, La Plazuela y Ciudad Jardín, recibiendo de parte de los usuarios de nuestra estrategia gran aceptación por el servicio prestado en los diferentes parques del Distrito.</t>
  </si>
  <si>
    <t>Se realizaron 13 FORMATOS DE CUMPLIMIENTO NORMATIVO, CONTROL DE
CALIDA, SALUD OCUPACIONAL de las unidades deportivas.
La meta es lograr presentar 110 auditorias continuas (monitoreo continuo) para
final de año.
Visitas Técnicas 3 (SoftbolVilla Rubia, Villa Rubia Softbol, Tierra baja)
Mesas de Trabajo 7 ( Flor del Campo, Las Caviotas, Ligas y Clubes del Complejo
acático, Los Alpes, Los Caracoles y Confamiliar, Club Shaolin, República de
Chile).
3 Formatos de Liberación de Actividades.
Levantamientos Topográficos de 2 unidades deportivas.  El Proceso de licitación pública para mejoramiento de 41 escenarios deportivos a 31 de julio se encontranba en pliegos definitivos para recepcionar observaciones y ofertas , por otro lado el proceso  del Campo de Beísbol  de Martinez Martelo a 31 de julio de 2021,  se encontraba en prooceso de evaluación técnica,  juridica y financiera.</t>
  </si>
  <si>
    <t xml:space="preserve"> El Proyecto de Construcción del Campo de Softbol  de Tierra Baja, sus documentos fueron remitidos al Ministerio para revisión del proceso de formulación de acuerdo con los lineamientos de regalias y nos encontramos  a la espera de la retroamilentación. Los escenarios de Olaya Sector Central  y Villa Rubia a corte 31 de julio de 2021 , se encontraban es estrcuración técnica de los documentos previos.</t>
  </si>
  <si>
    <t>• Se beneficiaron entre los meses de enero a julio del año 2021 a 14.848 personas distribuidas así: en el mes de enero a 679 personas, en febrero a 874 personas, en marzo a 1.896 personas, en abril 3.118 personas ,  mayo 3.328 personas,  junio 2.282 y  julio 2.671 personas, (Deportistas, Entrenadores (Clubes y ligas) y Aficionados).   Se mantuvo el cumplimiento de los protocolos de bioseguridad en los escenarios deportivos.</t>
  </si>
  <si>
    <r>
      <t>• Se otorgaron en el mes de enero 88 , febrero 316 , marzo 389 , abril 804 , mayo</t>
    </r>
    <r>
      <rPr>
        <sz val="18"/>
        <color rgb="FFFF0000"/>
        <rFont val="Arial Narrow"/>
        <family val="2"/>
      </rPr>
      <t xml:space="preserve"> </t>
    </r>
    <r>
      <rPr>
        <sz val="18"/>
        <rFont val="Arial Narrow"/>
        <family val="2"/>
      </rPr>
      <t xml:space="preserve">316 </t>
    </r>
    <r>
      <rPr>
        <sz val="18"/>
        <color theme="1"/>
        <rFont val="Arial Narrow"/>
        <family val="2"/>
      </rPr>
      <t xml:space="preserve">  junio  449   y julio 485  para un total en este periodo del año 2021 de  2.847 permisos. Se mantuvo el cumplimiento de los protocolos de bioseguridad en los escenarios deportivos.</t>
    </r>
  </si>
  <si>
    <r>
      <t>• Se otorgaron en el mes de enero 88 permisos, febrero 316 permisos, marzo 389 permisos, abril 804 , mayo</t>
    </r>
    <r>
      <rPr>
        <sz val="18"/>
        <color rgb="FFFF0000"/>
        <rFont val="Arial Narrow"/>
        <family val="2"/>
      </rPr>
      <t xml:space="preserve"> </t>
    </r>
    <r>
      <rPr>
        <sz val="18"/>
        <rFont val="Arial Narrow"/>
        <family val="2"/>
      </rPr>
      <t>316 p</t>
    </r>
    <r>
      <rPr>
        <sz val="18"/>
        <color theme="1"/>
        <rFont val="Arial Narrow"/>
        <family val="2"/>
      </rPr>
      <t>ermisos y junio  449  para un total en este periodo del año 2021 de 2.362  permisos. Se mantuvo el cumplimiento de los protocolos de bioseguridad en los escenarios deportivos.</t>
    </r>
  </si>
  <si>
    <r>
      <t>• Se otorgaron en el mes de enero 88 permisos, febrero 316 permisos, marzo 389 permisos, abril 804 y  mayo</t>
    </r>
    <r>
      <rPr>
        <sz val="18"/>
        <color rgb="FFFF0000"/>
        <rFont val="Arial Narrow"/>
        <family val="2"/>
      </rPr>
      <t xml:space="preserve"> </t>
    </r>
    <r>
      <rPr>
        <sz val="18"/>
        <rFont val="Arial Narrow"/>
        <family val="2"/>
      </rPr>
      <t>316 p</t>
    </r>
    <r>
      <rPr>
        <sz val="18"/>
        <color theme="1"/>
        <rFont val="Arial Narrow"/>
        <family val="2"/>
      </rPr>
      <t>ermisos; para un total en este periodo del año 2021 de 1.913 permisos. Se mantuvo el cumplimiento de los protocolos de bioseguridad en los escenarios deportivos.</t>
    </r>
  </si>
  <si>
    <t>• Se beneficiaron entre los meses de enero a mayo del año 2021 a 9.895 personas distribuidas así: en el mes de enero a 679 personas, en febrero a 874 personas, en marzo a 1.896 personas, en abril 3.118 personas y mayo 3.328 personas (Deportistas, Entrenadores (Clubes y ligas) y Aficionados).   Se mantuvo el cumplimiento de los protocolos de bioseguridad en los escenarios deportivos.</t>
  </si>
  <si>
    <t xml:space="preserve">AVANCE DE LA META DE BIENESTAR-AGOSTO 2021 </t>
  </si>
  <si>
    <t>REPORTE META PRODUCTO  ACUMULADO 31 DE AGOSTO  2021</t>
  </si>
  <si>
    <t xml:space="preserve">%de avance Enero - 31 de Agosto  Meta año 2021 </t>
  </si>
  <si>
    <t>% de avance del programa a 31 de Agosto de   2021</t>
  </si>
  <si>
    <t>REPORTE DE ACTIVIDADES DE   ENERO -AGOSTO  DE   2021</t>
  </si>
  <si>
    <t>% de avance en la meta de actividades a 31 de Agosto de 2021</t>
  </si>
  <si>
    <t>REPORTE EJECUCIÓN PRESUPUESTAL A 31 AGOSTO 2021</t>
  </si>
  <si>
    <t xml:space="preserve">OBSERVACIONES AGOSTO  2021   - https://1drv.ms/u/s!An_-YqStCA-JiGi2-vDjBXAmrYuU?e=boOoRO                                                                                                                                                                              </t>
  </si>
  <si>
    <t>% DE EJECUCION A 31 AGOSTO  2021</t>
  </si>
  <si>
    <t>Avance Meta proyecto   a 31 de Agosto de 2021 (actividades)</t>
  </si>
  <si>
    <t xml:space="preserve">AVANCE FINANCIERO A 31 DE  AGOSTO DE 2021 </t>
  </si>
  <si>
    <t xml:space="preserve">% AVANCE TÉCNICO DE LOS PROGRAMAS A 31 DE AGOSTO  DE 2021  </t>
  </si>
  <si>
    <t xml:space="preserve"> Se inicia con la primera fase del cronograma que corresponde a llevar a cabo las inscripciones
 Para esta este periodo está en proceso de ejecución la fase de inscripciones, con el fin de que las instituciones educativas participen en los juegos Intercolegiados 2021.
 Se envió a la prensa toda la información de las inscripciones para ser distribuida en las redes sociales.
 Se enviaron correos a los docentes de las distintas instituciones educativas, con la información necesaria para que realicen sus inscripciones. 
 Se realizaron 1 reuniones de socialización por la plataforma TEAMS con el ministerio de deporte ultimando detalles de la fase de inscripción.
 Desde el día 9 de agosto se visitaron las instalaciones de las instituciones para hacerles acompañamientos y motivarlos a las inscripciones de los juegos Intercolegiados 2021.                A 31 de agosto de 2021, se inscribieron 595 estudiantes, estas inscripciones se extendieron hasta el 15 de septiembre de 2021 y se están implementando diferentes estrategias con la finalidad de motivar la participación de las institciones educativas y sus estudiantes para los Juegos Intercolegiados Año 2021. 
</t>
  </si>
  <si>
    <t xml:space="preserve">Durante este mes se realizaron diferentes avances de este programa como:                                                                                                                                                                                       El día 19 de agosto realizamos un recorrido en los diferentes escenarios deportivos de la ciudad de Cartagena, para observar el estado y las condiciones de estos mismos, donde se llevará a cabo la realización de los juegos deportivos comunales, los cuales se seleccionarán con la expedición de sus respectivos permisos ante los entes administrativos de los escenarios, a continuación, mencionare los escenarios (Juegos Comunales) :Coliseo Bernardo Caraballo,Estadio de Softbol de Canapote, Cancha de Futsalón, barrio Daniel Lemaitre,Cancha de Futsalón de Santa Rita,Polideportivo barrio La Candelaria, Coliseo Norton Madrid, Coliseo Rocky Valdez,Cancha de los Calamares,Cancha la Ermita del Pie de la Popa.                                                                                                                  El día 26 de agosto recibimos, los uniformes de las disciplinas de futsalon, baloncesto acto seguido, procedimos a organizar, clasificarlas, para posteriormente entregarlas en la fecha correspondiente, antes de iniciar las competencias.                                                                                                                                                                                                                                                              Actividad realizada el día 13 de agosto de 2021. (Juegos Indígenas) 
Socialización de Entrega de Formatos de Inscripción, censo poblacional participante, disciplinas ancestrales y convencionales, cabildos Zhandero y Kankuamo. Socialización 3,  ctividad realizada el día 17 de agosto de 2021 -Entrega de Formatos de Inscripción con todos los jefes de cabildos: Znahdero, Kaiceba, Kankuamo, Pasacaballos y Membrillal. Actividad realizada el día 30 de agosto de 2021-Recolección de Formatos de Inscripción y documentación de los participantes del Cabildo Zhandero de Bayunca.                                                                                                                        AVANCES EN LAS ACCIONES JUEGOS CARCELARIOS – SOCILAIZACIONES : Realizamos mesa de trabajo el día 18 de agosto con el coordinador de deportes del inpec para tra-tar todos los temas correspondientes a la reactivación de las actividades en el EPCMSC (ternera) la cual quedaron para el 26 de agosto. Realizamos actividades recreo deportivas en la cárcel distrital de mujeres los días 4, 6, 11, 13, 18, 25, 27 donde el objetivo fundamental es la motivación para la realización de actividades físicas y deportivas, Contacto permanente con la fundación talid sobre el seguimiento a los procesos con los NNAJ. Planificación de las actividades para la ejecución del programa de SRPA CON LOS DOCENTES DE LA ESCUELA Y APOYO PSICOSOCIAL.
</t>
  </si>
  <si>
    <t>Se realizan intervenciones 145 unidades deportivas (s (10 Mayores +
33 Medianas + 102 Menores) en términos Mantenimientos Preventivos
Recurrentes.3 Formatos de Liberación de Actividades.
Se realiza estudio de suelo de campo de Tierra Baja
Reuniones y mesas de trabajo con Gestión del Riesgo, juntas de acción comunal
de los barrios Prado y Olaya sector Ricaute, representantes de la comunidad de
olaya sector Central, Urbanización Barú, Blas de Lezo, Flor del Campo, con la
comisión de fútbol con la SEC del Interior y real cartagena para verificación de la
implementación del aforo del 50% para encuentros con público en Jaime morón,
entre otros. Reuniones y mesas de trabajo con Gestión del Riesgo, juntas de acción comunal
de los barrios Prado y Olaya sector Ricaute, representantes de la comunidad de
olaya sector Central, Urbanización Barú, Blas de Lezo, Flor del Campo, con la
comisión de fútbol con la SEC del Interior y real cartagena para verificación de la
implementación del aforo del 50% para encuentros con público en Jaime Morón,
entre otros. El Proceso de licitación pública para mejoramiento de 43 escenarios deportivos a 31 de agosto de 2021, se encuentraban  publicados en prepliegos hasta el 6 de septiembre de 2021. El proceso de contratación del Campo de Beísbol  de Martinez Martelo a 31 de agosto de 2021,  se encontraba adjudicado.</t>
  </si>
  <si>
    <t xml:space="preserve"> El Proyecto de Construcción del Campo de Softbol  de Tierra Baja, el Ministerio realizó oservaciones a la documentación presentada por el IDER, a la cual el IDER deberá respondera a más tardar el 10 de septiembre de 2021. Los escenarios de Olaya Sector Central  y Villa Rubia a corte 31 de agosto de 2021 , se encontraban publicados en prepliegos.</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</si>
  <si>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debe realizar realizar segumiento a estos planes trimestralmente , el próximo corte sería a  30 de septiembre de 2021 , los cuales se publicarían  en la página del IDER dentro de los cinco (5) primeros días del mes de octubre de 2021.</t>
  </si>
  <si>
    <t>RESOLUCIÓN No. 172 (06 de julio de 2021) “Por medio de la cual se publica la lista de los organismos deportivos, admitidos e inadmitidos en la convocatoria pública para la entrega de apoyos a organismos deportivos que tengan jurisdicción en Cartagena de Indias D.T. y C., en la vigencia 2021.”                                                                                                                                              RESOLUCIÓN No. 177 (12 de julio de 2021) “Por medio de la cual se amplían los términos para subsanar y se modifica el cronograma de la convocatoria pública para la entrega de apoyos a organismos deportivos que tengan jurisdicción en Cartagena de Indias D.T. en la vigencia 2021”.                                                                                                                                                                          RESOLUCIÓN No. 193 (26 de julio de 2021) “Por medio de la cual se publica la lista de los organismos deportivos habilitados para la evaluación de sus logros deportivos en la convocatoria pública para la entrega de apoyos a organismos deportivos que tengan jurisdicción en Cartagena de Indias D.T. y C., en la vigencia 2021.”                                                                                                           RESOLUCIÓN No. 198 (29 de julio de 2021) “Por medio de la cual se resuelven reclamaciones y se publica la lista definitiva de los organismos deportivos habilitados para la evaluación de sus logros deportivos en la convocatoria pública para la entrega de apoyos a organismos deportivos que tengan jurisdicción en Cartagena de Indias D.T. y C., en la vigencia 2021.”</t>
  </si>
  <si>
    <t xml:space="preserve">Se seleccionaron  a través de la convocatoria pública para la entrega de apoyos a organismo  deportivos que tengan jurisdicción en Cartagena de Indias D.T. y C., en la vigencia 2021, a  51 organismos deportivos distribuidos en 12 ligas y 39 clubes todos de deporte convecional .  Se espera entrar los estimulos en el último trimestre del año 2021.                                                                                        RESOLUCIÓN No. 203 (agosto 05 de 2021) “Por medio de la cual se publica el resul-tado de la evaluación de los logros deportivos y se establecen de los organismos de-portivos beneficiados en la convocatoria pública para la entrega de apoyos a organis-mos deportivos que tengan jurisdicción en Cartagena de Indias D.T. y C., en la vigen-cia 2021.”                                                                          RESOLUCIÓN No. 211 (agosto 12 de 2021) “Por medio de la cual se publica el listado definitivo de los organismos deportivos beneficiados en la convocatoria pública para la entrega de apoyos a organismos deportivos que tengan jurisdicción en Cartagena de Indias D.T. y C., en la vigencia 2021.                                                                                                                                                  ANTEPROYECTO DE APERTURA ESCENARIOS DEPORTIVOS No. 002 del 3 de Agosto de 2021 , PARA LA DETERMINACION DE LOS PARAMETROS NECESARIOS PARA LA CORRECTA APERTURA DEL AFORO DE LOS ESCENARIOS DEPORTIVOS DE LA CIUDAD DE CARTAGENA A CARGO DEL INSTITUTO DISTRITAL DE DEPORTE Y RECREACIÓN –IDER– PARA EL SEGUNDO SEMESTRE DEL AÑO 2021.
</t>
  </si>
  <si>
    <t xml:space="preserve">Se seleccionaron  a través de la convocatoria pública para la entrega de apoyos a organismo  deportivos que tengan jurisdicción en Cartagena de Indias D.T. y C., en la vigencia 2021, a  51 organismos deportivos distribuidos en 12 ligas y 39 clubes todos de deporte convecional .  Se espera entrar los estimulos en el último trimestre del año 2021.                                                                                        RESOLUCIÓN No. 203 (agosto 05 de 2021) “Por medio de la cual se publica el resul-tado de la evaluación de los logros deportivos y se establecen de los organismos de-portivos beneficiados en la convocatoria pública para la entrega de apoyos a organis-mos deportivos que tengan jurisdicción en Cartagena de Indias D.T. y C., en la vigen-cia 2021.”                                                                          RESOLUCIÓN No. 211 (agosto 12 de 2021) “Por medio de la cual se publica el listado definitivo de los organismos deportivos beneficiados en la convocatoria pública para la entrega de apoyos a organismos deportivos que tengan jurisdicción en Cartagena de Indias D.T. y C., en la vigencia 2021.                                                                                                                                                  ANTEPROYECTO DE APERTURA ESCENARIOS DEPORTIVOS No. 002 del 3 de Agosto de 2021, PARA LA DETERMINACION DE LOS PARAMETROS NECESARIOS PARA LA CORRECTA APERTURA DEL AFORO DE LOS ESCENARIOS DEPORTIVOS DE LA CIUDAD DE CARTAGENA A CARGO DEL INSTITUTO DISTRITAL DE DEPORTE Y RECREACIÓN –IDER– PARA EL SEGUNDO SEMESTRE DEL AÑO 2021.
</t>
  </si>
  <si>
    <t>Durante el cierre del segundo ciclo, se tuvo una deserción de 259 NN, donde se evidenciaron varios motivos de la no participación, como lo es el temor a la pandemia (COVID 19), sin acompañamiento, cambio de residencia y porque al inscribirse no tenían claridad de la sistematización que manejamos en la escuela, donde cada NN nuevo debe iniciar en la etapa de núcleos, para luego pasar la deporte especifico.Se continuaron las reuniones semanales todos los jueves a las 11 am, donde se socializan las actividades programadas para el mes y el seguimiento de esta. Por otro lado se dio apertura las inscripciones  en los 51 núcleos en los niveles de iniciación y formación deportiva distribuidos en las tres localidades, brindándole a oportunidades a nuevos NN en  vinculase en la oferta institucional con el proyecto de EIFD, cabe resaltar que para este mes de agosto se realizó el traslado del núcleo de San Francisco para Daniel Lemaitre</t>
  </si>
  <si>
    <t>Durante este período se beneficiaron a  513 campistas , se realizaron 120 sesiones de formación para el servicio social , se desarrollaron 3 módulos sore habilidades para la vida asi como también se llevaron a cabo 7 escuelas para padres. Seguimos en conversación con las Instituciones Educativas aliadas para la apertura del 6to bosque
ya que por motivos de aforo y pandemia por COVID-19 no hemos dado inicio. seguimos a espera para una apertura del bosque.                                                                                                           En el bosque de la Localidad No. 3 Industrial y de la Bahía sede Huellas de Alberto Uribe los  jóvenes han cumplido su ciclo de instancia en el proyecto, por lo cual hemos venido adelantando alianzas con Instituciones educativas y entidades cercanas que presenten interés en la unión al proyecto y así aumentar la convocatoria del mismo.</t>
  </si>
  <si>
    <t>En este mes de agosto se realizaron las siguientes actividades dentro del proyecto, las cuales son las siguientes: 1. Por medio de plataformas virtuales se adelantaron estrategias como son "Escuelas Interactivas" donde tuvimos un alcance de 3.419 personas y un total de reproducciones de 11.369 en 3 transmisiones en vivo. 2. Realizamos 11 capacitaciones en talleres y juegos para padres, madres y cuidadores con un total de beneficiados de 255 personas beneficiadas. 3. Se adelantaron 2 talleres de nutrición con la estrategia cocineritos en acción de manera virtual con un alcance de1.916 y 2.723 reproducciones, 1 taller presencial con 7 personas impactadas. 4. Realizamos campaña de Lactancia Materna bajo el lema “Lactar es Vida” donde impactamos 357 personas, con actividades charlas, actividad física y recreación. 5. En 8 talleres de actívate gestante se impactaron 185 mujeres adultas gestantes y lactantes. 6. Se sacaron 4 piezas publicitarias promoviendo cocineritos y la campaña de lactancia materna además de beneficiaron a 50 Participantes en talleres lúdicos a la población de la primera infancia y asesorías de hábitos y estilos de vida a madres comunitarias y agentes en el Distrito de
Cartagena de Indias.</t>
  </si>
  <si>
    <t xml:space="preserve">En el mes de Agosto se realizaron actividades que beneficiaron lo siguiente : A 361 personas mayores, 1.181 personas participantes
en las Instituciones Educativas, grupos organizados de adolescentes y jóvenes, Hogares Comunitarios y/o CDI , 28  personas participantes
en eventos con la alcaldía  distrital , para un total de 1.570 personas benefiiciadas.                                                                                                                                                                              Para poder desarrollar las estrategias de Cartagena es de los niños y Persona mayor Nuevo Comienzo, como lo establecen los indicadores, se hace necesario adelantar la contratación de un operador, en la actualidad estamos a la espera de bienes y servicios que venimos trabajando de la mano de la oficina de Jurídica del
Instituto.
</t>
  </si>
  <si>
    <t xml:space="preserve">1. Este mes se iniciaron jornadas en los centros penitenciarios y carcelarios en la cárcel Distrital de mujeres, y en el mes de Septiembre se dará reinicio a las actividades dentro de la estrategia a la cárcel
San Sebastián de Ternera.                                                                                                                                                                                                                                                           2. Hemos tenido buena acogida con los eventos virtuales realizados en colegios e Instituciones Educativas, los colegios iniciaron proceso de alternancia y estamos ejecutando actividades con oferta
virtual y presencial.
3.Seguimos apuntado con nuestras asesorías y jornadas de actividad física y recreativas a diferentes sectores laborales de la ciudad Cartagena, realizando reuniones con jefes de talento humano para
darles a conocer nuestro proyecto y seguir creando un impacto en los diferentes entornos.
4. El tamizaje con los grupos de persona Mayor se han retomado pausadamente (no todos los centros de vida o grupos organizados se quieren reunir), manejando todo el protocolo de Bioseguridad, este
mes por motivos climatológicos toco cancelar varios eventos para poder cuidar la integridad de la persona mayor. Se iniciaron la tamización en los puntos de actividad física en convenio con Min
deporte. 
5. Desde el proyecto se lanzó la campaña mes de la persona Mayor, tuvimos excelentes resultados, impactando a los usuarios adultos mayores, con puestas en escena de los años ochenta, organizamos
un panel académico titulado “Ejercicio físico y alimentación saludable, un mecanismo preventivoante la fragilidad y riesgo de caída en la Persona mayor”.
</t>
  </si>
  <si>
    <t>A corte de 31 de agosto se ha continuado proceso de inscripción y evaluación de  usuarios en los parques biosaludables priorizados de las comunidades de Bruselas, Los Calamares, Los Alpes, Santa Lucía, La Plazuela y Ciudad Jardín, teniendo como resultado de parte de los usuarios de nuestra estrategia Actívate en el Parque con el IDER gran acogida por el servicio prestado en los diferentes parques biosaludables del Distrito de Cartagena de Indias.</t>
  </si>
  <si>
    <t xml:space="preserve">Durante el mes de agosto tuvimos los siguientes avances del proyecto , las cuales son:                                                                                                                                                                               1. En las estrategias del Programa Hábitos y Estilos de Vida Saludable (Madrúgale a la Salud, Noches Saludables, Caminante Saludable, Actívate Running y Joven Saludable) se ha producido un aumento en los puntos de actividad física gracias al convenio COID-784-2021 Mindeporte - IDER, con el cual se están impactando 15 nuevas comunidades con 7 puntos de Madrúgale a la Salud y 8 de Noches Saludables (Flor del Campo, El Pozón sector 14 de febrero, Villa Rosita, Villa Zuldany, César Flórez Sector La Florida, La Carolina, Olaya Herrera sector 11 de Noviembre, Las Lomas, Crespo Barrio Militar, La Española, La Concepción, Villas de Aranjuez, Blas de Lezo Parque de la Virgen, Nueva Granada y Urbanización Sevilla).
2. Se tiene inscritos a fecha 31 de agosto de 2021 un total de 3.460 usuarios en la Plataforma Hércules.
3. En los centros comerciales nuestras sesiones de actividad física dirigida musicalizada de las estrategias Madrúgale a la Salud y Noches Saludables han impactado en promedio a un total
de 261 usuarios.
4. En el mes se impacto de manera virtual desde el proyecto de mejoramiento de los estilos de vida mediante la promoción masiva de una vida activa, en sus estrategias: Madrúgale a La
Salud (40.720 reproducciones y 333 personas en vivo), Noches Saludables (25.066 reproducciones y 215 personas en vivo) y Joven Saludable (10.400 reproducciones y 117 personas en vivo).
5. Durante el mes de agosto se realizaron 2 (dos) eventos de concentración en las comunidades de Centro Comercial Olaya Plaza y Parque La Unión, y 3 (tres) eventos de promoción, en Los
Cerros, Los Jardines y Parque Heredia, impactando en los 5 (cinco) eventos a un total de 262 personas. </t>
  </si>
  <si>
    <t>Producto: Red de conocimiento científico a 31 de agosto se tiene un avance gradual del 15% y en general se tiene un avance del 55% en total. Producto: Alianzas a 31 de agosto se tiene un avance gradual del 0% y en general se tiene un avance del 14% en total.Producto: Semillero de investigación a 31 de agosto se tiene un avance gradual del 10% y en general se tiene un avance del 70% en total. Producto: Artículo científico a 31 de agosto se tiene un avance gradual del 20% y en general se tiene un avance del 45% en total. Producto: Encuentro científico a 31 de agosto se tiene un avance gradual del 5% y en general se tiene un avance del 42% en total. Producto: crónicas a 31 de agosto se tiene un avance de 4 crónicas y en total se tiene un avance de 8. Producto: banco de datos a 31 de agosto se tiene un avance gradual del 10% y en general se tiene un avance del 30% en total</t>
  </si>
  <si>
    <t>Durante el mes de agosto se desarrollaron 6 actividades para un total de 610 asistentes de acuerdo con lo establecido en el cronograma de ejecución del Proyecto Divulgación y Apropiación Social del Conocimiento, donde se contó con el apoyo y el acompañamiento de la oficina de sistemas y de prensa del Instituto Distrital De Deporte y Recreación IDER.  Las actividades de apropiación del conocimiento fueron las que a continuación se describen : 1. Realización y seguimiento capacitación virtual Fundamentos del Entrenamiento Deportivo dictada por el Lic. Jorge Tito Pérez en relación con el cronograma establecido por este proyecto el día 5 de agosto. con una participación de 116 Personas. 2. Se realizó Acompañamiento para la socialización del Semillero de Investigación científica del Proyecto Aplicación de Ciencias el día 6 de agosto con la asistencia de 51 personas or plataforma virtual, con la ponencia de Dayana Pinzón y Giselly Landazury. 3. Realización y seguimiento capacitación virtual Preparación Física en el Entrenamiento Deportivo dictada por el Lic. Jorge Tito Pérez en relación con el cronograma establecido por este proyecto el día 12 de agosto. Con una participación de 119 Personas. 4. Realización y seguimiento capacitación virtual Preparación Técnica en el Entrenamiento Deportivo dictada por el Lic. Jorge Tito Pérez en relación con el cronograma establecido por este proyecto el día 19 de agosto. Con una participación de 111 Personas. 5. Realización y seguimiento capacitación virtual deporte y recreación para una convivencia ciudadana con la ponencia de la licenciada en Educación Física Ediana Jiménez Carvajal, en relación con el cronograma establecido por este proyecto el día 27 de agosto. Con una participación de 107 Personas.6. Realización y seguimiento capacitación virtual Gerencia del Deporte con la ponencia del  Profesional Especializado GUSTAVO GONZALEZ TARRA, en relación con el cronograma establecido por este proyecto el día 31 de agosto. Con una participación de 106 Personas.</t>
  </si>
  <si>
    <t xml:space="preserve">Producto: DOCUMENTO DIAGNÒSTICO Y DE VALORACIÓN: Se realizó análisis de la información de grupos focales correspondiente a la etapa 3. Con base en la tabla de
categorías de análisis. Se ajustó encuesta de acuerdo con los nuevos requerimientos hechos desde planeación y ajustó metodología, se avanzó en el informe final y se amplió marco de antecedentes de acuerdo con lo sugerido por planeación, anexando trabajos de campo realizados por otras instituciones y se inició elaboración
de documento final. A corte de 31 de agosto se tiene un avance gradual porcentual del 24% por ciento y un avance total del 60% en gestión se hicieron ajustes en el instrumento cuantitativo para el levantamiento de datos, pendiente el cierre de la etapa 2 y finalización de la etapa 3 para el mes de agosto. Producto: protocolo de identificación del patrimonio Después de desgrabar los grupos focales en la etapa 3, y finalizar etapas previas se inició construcción del documento protocolo de identificación del patrimonio deportivo, considerando una reestructuración en la metodología y tomando como base la revisión documental de la Unesco y del Ministerio de Cultura en la elaboración de dichos protocolos.Por consiguiente, a corte de 31 de agosto se tiene un avance gradual porcentual del 43% con la consolidación del documento y un avance general se tiene un avance del 78% en total, finalizada la etapa 1 y con avances en la etapa 3. Producto: 4 fichas de caracterización Se realizó teleconferencia con el grupo conservar para gestionar alianza para la caracterización y establecer parámetros de la misma con base en investigaciones históricas y baticulos de grandes pensadores del Caribe.Producto: 3 actas de preservación y conservación del Acervo deportivo de la ciudad y el departamento una vez se tenga el protocolo de identificación y la identificación de las fichas iniciará el proceso de preservación y conservación, ya hay un listado preliminar, producto de los grupos focales por ello se avanza en la convocatoria de especialista en patrimonio, con la proyección de las cartas de invitación para realizar el primer comité en el mes de septiembre. Con los siguientes especialistas:
1. Especialista en patrimonio solicitado al IPCC
2. Especialista en deporte del IDER
3. Directora del IDER
4. Historiador solicitado al MUHCA
5. Representante de medios solicitado a la asociación de periodistas
6. Representante de educación solicitado a secretaria de Educación
7. Especialista en conservación del Patrimonio solicitado a Escuela Taller.                                                                                                                                                                                                 Producto: 2 Piezas de Memoria, Con el levantamiento de datos y la implementación de instrumentos se inicia la identificación de las piezas y habiendo aplicado los instrumentos a un 30% de la muestra nos arroja una identificación parcial, que puede cambiar una vez se finalice la implementación y se tabule la misma.    Producto: 5 coloquios sobre Acervo deportivo En gestión para el tercer coloquio nacional, se solicitó sala de Zoom y participación de la directora del IDER en el mismo, se enviaron invitaciones y se recibió confirmación del Ministerio de Cultura. teniendo en cuenta que Colombia jugará las eliminatorias al mundial en la misma fecha y hora prevista del coloquio, se pospuso para el martes 7 de septiembre. Producto: divulgar acciones y actividades del proyecto Se desarrolló e implementó la estrategia de Divulgación para el Tercer coloquio.                                                                                                                                                                                   </t>
  </si>
  <si>
    <t>El IDER prestó apoyo logístico a la realización de 7 eventos en el mes de agosto , los cuales son  los siguientes :  Clínica Internacional de Balancesto con la participación de 56 deportistas y 45 asistentes ,Torneo Internacional de Baloncesto “Copa Álvaro Teherán” con la participación de 270 deportitas y con 100 asistentes, Festival de Voleibol Femenino en categorías menores con 210 deportitas y 250 asistentes, XVIII Torneo Regional de Gimnasia Artística con 131 deportistas y 120 asistentes, Encuentro de Natación para deportistas en condición de discapacidad con 55 deportistas y 65 asistentes, III Encuentro Talentos de la Natación India Catalina con 80 deportistas y 120 asistentes, Torneo Internacional  Suramericano  de Squash con  135 deportistas y 500 asistentes.En estos eventos  se  aplicaron los  Protocolos de Bioseguridad  y las medidas establecidas por el Gobienro Naciona y Distiral. Por lo anterior se benerfiaron a un total de  937 deportistas y 1.200 asistentes , para un gran total de 2.137 personas benefiiciadas.</t>
  </si>
  <si>
    <t xml:space="preserve">A 31 de agosto de 2021 se inscribieron 3.423 personas distribuidas en los Juegos Afros: 658, Juegos comunales:1.55 y Juegos corregimientales :1.320. Durante este mes se realizaron avances de  este programa como :                                                                                                                                                                                                                                                                                                Grabación de video con los deportistas de para natación que participaran en los juegos distritales de la Discapacidad para la campaña promocional de los mismos esta actividad participaron deportistas, entrenador Ronald Suarez, apoyo Oscar Peñuela el equipo de prensa y la coordinadora de los juegos Glenda Guzmán (5 de agosto del 2021).                             Reunión presencial con el equipo de futbol auditivo, para organizar su participación en los juegos distritales de la discapacidad, escuchar sugerencias y socialización del sistema de juego, fechas de inicio de los mismos, participaron los deportistas, el entrenador Walfran Ramos, Gilma Idárraga, Interprete y mi persona Glenda Guzmán (10 de agosto del 2021). Socialización 2.                                                                                                                                                                                                                                                                  AVANCES EN LAS ACCIONES JUEGOS CORREGIMENTALES – SOCIALIZACIONES
 El día 4 de agosto, se llevo a cabo una reunión en el complejo de raquetas, con los monitores de los corregimientos, cuyo objetivo fue dar apertura al proceso de inscripción, el cual finalizaría el día 20 de agosto.  Reunión el 20 de agosto, en el complejo de raqueta con los monitores de los corregimientos, don-de hicieron entrega de las planillas de inscripción de los deportistas que participarían en los juegos por sus corregimientos y veredas. Socialización 4. El día 21 de agosto, se visitaron los corregimientos todos los corregimientos de la zona norte, don-de se les hizo entrega a los monitores de los corregimientos, bates y bolas, que fueron gestionados por el director de fomento.
</t>
  </si>
  <si>
    <t xml:space="preserve">% DE EJECUCION A 30 JUNIO  2021 </t>
  </si>
  <si>
    <r>
      <t>• Se otorgaron en el mes de enero 88 , febrero 316 , marzo 389 , abril 804 , mayo</t>
    </r>
    <r>
      <rPr>
        <sz val="18"/>
        <color rgb="FFFF0000"/>
        <rFont val="Arial Narrow"/>
        <family val="2"/>
      </rPr>
      <t xml:space="preserve"> </t>
    </r>
    <r>
      <rPr>
        <sz val="18"/>
        <rFont val="Arial Narrow"/>
        <family val="2"/>
      </rPr>
      <t xml:space="preserve">316 </t>
    </r>
    <r>
      <rPr>
        <sz val="18"/>
        <color theme="1"/>
        <rFont val="Arial Narrow"/>
        <family val="2"/>
      </rPr>
      <t xml:space="preserve">  junio  449  , julio 485 y agosto 482para un total en este periodo del año 2021 de </t>
    </r>
    <r>
      <rPr>
        <sz val="18"/>
        <color rgb="FFFF0000"/>
        <rFont val="Arial Narrow"/>
        <family val="2"/>
      </rPr>
      <t xml:space="preserve"> </t>
    </r>
    <r>
      <rPr>
        <sz val="18"/>
        <rFont val="Arial Narrow"/>
        <family val="2"/>
      </rPr>
      <t>3.309</t>
    </r>
    <r>
      <rPr>
        <sz val="18"/>
        <color rgb="FFFF0000"/>
        <rFont val="Arial Narrow"/>
        <family val="2"/>
      </rPr>
      <t xml:space="preserve"> </t>
    </r>
    <r>
      <rPr>
        <sz val="18"/>
        <color theme="1"/>
        <rFont val="Arial Narrow"/>
        <family val="2"/>
      </rPr>
      <t>permisos. Se mantuvo el cumplimiento de los protocolos de bioseguridad en los escenarios deportivos.</t>
    </r>
  </si>
  <si>
    <r>
      <t>• Se beneficiaron entre los meses de enero a agosto del año 2021 a  personas</t>
    </r>
    <r>
      <rPr>
        <sz val="18"/>
        <rFont val="Arial Narrow"/>
        <family val="2"/>
      </rPr>
      <t xml:space="preserve"> 19.175 </t>
    </r>
    <r>
      <rPr>
        <sz val="18"/>
        <color theme="1"/>
        <rFont val="Arial Narrow"/>
        <family val="2"/>
      </rPr>
      <t>distribuidas así: en el mes de enero a 679 personas, en febrero a 874 personas, en marzo a 1.896 personas, en abril 3.118 personas ,  mayo 3.328 personas,  junio 2.282 ,  julio 2.671 personas, agosoto 4.327</t>
    </r>
    <r>
      <rPr>
        <sz val="18"/>
        <color rgb="FFFF0000"/>
        <rFont val="Arial Narrow"/>
        <family val="2"/>
      </rPr>
      <t xml:space="preserve"> </t>
    </r>
    <r>
      <rPr>
        <sz val="18"/>
        <color theme="1"/>
        <rFont val="Arial Narrow"/>
        <family val="2"/>
      </rPr>
      <t>personas  (Deportistas, Entrenadores (Clubes y ligas) y Aficionados).   Se mantuvo el cumplimiento de los protocolos de bioseguridad en los escenarios deportivos.</t>
    </r>
  </si>
  <si>
    <t xml:space="preserve">En el periodo comprendido entre 01 al 30 de agosto se realizó un taller de elaboración de cometas, por medio de plataforma digital en el cual participaron 140 personas.
Se realizó la primera ciclovía Dominical VAS de ciudad, en la cual asistieron 900 personas de las cuales logramos tomar el registro de asistencia de 401 personas.                                                                    Se realizaron en este mes  Nueve (9) Vías Recreativas  que benefiaron a 521 personas y se desarrollaron  4 cilcopasesos  que beneficiaron a 324 personas, se beneficiaron a  900 personas participantes en eventos. Se realizo un(1) Festival de Cometas en el cual participaron 186 personas en las diferentes localidades además en el transcurso de enero a agosto se apoyaron dos (2)  actividades de  Lunada Bike, que benefiairon a 579 personas. </t>
  </si>
  <si>
    <t>REPORTE META PRODUCTO  ACUMULADO 30 DE SEPTIEMBRE DE 2021</t>
  </si>
  <si>
    <t xml:space="preserve">%de avance Enero - 30 de septiembre  Meta año 2021 </t>
  </si>
  <si>
    <t>% de avance del programa a 30 de septiembre de   2021</t>
  </si>
  <si>
    <t>REPORTE DE ACTIVIDADES DE   ENERO -SEPTIEMBRE   2021</t>
  </si>
  <si>
    <t>% de avance en la meta de actividades a septiembre de 2021</t>
  </si>
  <si>
    <t xml:space="preserve">APROPIACION DEFINITIVA A CORTE SEPTIEMBRE 2021 </t>
  </si>
  <si>
    <t xml:space="preserve">REPORTE EJECUCIÓN PRESUPUESTAL CORTE SEPTIEMBRE 2021 </t>
  </si>
  <si>
    <t xml:space="preserve">REDUCCIONES PRESUPUESTALES CORTE SEPTIEMBRE 2021 </t>
  </si>
  <si>
    <t xml:space="preserve">% EJECUCIÓN PRESUPUESTAL CORTE SEPTIEMBRE 2021 </t>
  </si>
  <si>
    <t xml:space="preserve">APROPIACION DEFINITIVA  A CORTE AGOSTO 2021 </t>
  </si>
  <si>
    <t xml:space="preserve">OBSERVACIONES SEPTIEMBRE   - https://1drv.ms/u/s!An_-YqStCA-JiGi2-vDjBXAmrYuU?e=boOoRO                                                                                                                                                                              </t>
  </si>
  <si>
    <t xml:space="preserve">A corte de Septiembre de 2021  se impactan cuatro parques biosaludables del Distrito, en los barrios de Bruselas, Los Alpes, La Plazuela y Ciudad Jardín. Se realizo en este mes de septiembre la segunda evaluación a los usuarios, contemplada en el plan de trabajo para medir sus avances y por ende reestructurar sus planes de ntrenamiento, esta evaluación se realiza cada tres meses con el objetivo de medir los resultados del plan de trabajo dirigido a cada usuario.
En la actualidad, el Centro de Acondicionamiento Físico CAF – IDER se encuentra en plan de modernización y mantenimiento de máquinas y elementos. El total de beneficiarios son 327 personas. </t>
  </si>
  <si>
    <t>A corte de septiembre de 2021 se tienen los siguientes avances: 
1. Inicio de jornadas en los Centros Penitenciarios y Carcelarios en la EPCC San Sebastián de Ternera y en la Cárcel Distrital de Mujeres. No obstante, las programaciones fueron suspendidas en la Cárcel de Ternera por directriz de dicha institución. Se espera poder retormar las actividades en el próximo mes. 
2. Se ha tenido buena acogida con los eventos virtuales realizados en colegios e instituciones educativas, los colegios iniciaron proceso de alternancia y estamos ejecutando actividades con oferta virtual y presencial.
3. Los procesos de tamizaje con los grupos de persona mayor se han retomado pausadamente, manejando todo el protocolo de bioseguridad.
4. Desde el proyecto se lanzó la campaña de prevención al suicidio y la de la semana de la salud, se desarrollaron diferentes eventos, virtuales, presenciales, académicos donde se impactaron diferentes poblaciones.</t>
  </si>
  <si>
    <t xml:space="preserve">A corte de septiembre se tienen los siguientes avances:
1. Se dio apertura a un nuevo punto de actividad física dirigida musicalizada en la comunidad del Barrio Parque Residencial El Country, siendo este nuestro punto de Noches Saludables número 63.
2. En los centros comerciales nuestras sesiones de actividad física dirigida musicalizada de las estrategias Madrúgale a la Salud y Noches Saludables han impactado en promedio a un total de 321 usuarios.
3. En el mes se impactó de manera virtual desde el proyecto de mejoramiento de los estilos de vida mediante la promoción masiva de una vida activa, en sus estrategias: Madrúgale a la salud (30.100 reproducciones y 269 personas en vivo), Noches Saludables (22.900 reproducciones y 188 personas en vivo) y Joven Saludable (7.500 reproducciones y 58 personas en vivo).
4. Durante el mes de septiembre se impactaron en los eventos de concentración (12) un total de 975 usuarios y en los eventos de promoción (14), un total de 510 usuarios.
5. Para este mes se registran 3 eventos de ciudad realizados. </t>
  </si>
  <si>
    <t>En este mes de septiembre se reportan las siguientes actividades: 
1. Se realizaron 9 capacitaciones en talleres y juegos para padres, madres y cuidadores, para un total de 229 personas beneficiadas.
2. Se adelantaron 2 talleres de nutrición con la estrategia cocineritos en acción de forma virtual con un alcance de 1.247 y un total de reproducciones de 2.482.
3. En 9 talleres virtuales de actívate gestante se impactaron 98 mujeres adultas gestantes y lactantes.</t>
  </si>
  <si>
    <t>En este mes de septiembre se continuó con el desarrollo del programa de campamentos juveniles. Una de las principales acciones desarrolladas fue un proyecto comunitario denominado “Camping por un día” con la participación de 55 personas en el Corregimiento de Bayunca.</t>
  </si>
  <si>
    <t>Para el mes de septiembre se tienen los siguientes avances:
1. Red de conocimiento científico a 30 de Septiembre se tiene un avance gradual del 5% y en general se tiene un avance del 60% en total
2. Alianzas a 30 de Septiembre se tiene un avance gradual del 0% y en general se tiene un avance del 14% en total.
3. Semillero de investigación a 30 de Septiembre se tiene un avance gradual del 2% y en general se tiene un avance del 80% en total
4. Artículo científico a 30 de Septiembre se tiene un avance gradual del 35% y en general se tiene un avance del 80% en total
5. Encuentro científico a 30 de Septiembre se tiene un avance gradual del 8% y en general se tiene un avance del 50% en total
6. crónicas a 30 de Septiembre se tiene un avance de 0 crónicas y en total se tiene un avance de 8.
7. banco de datos a 30 de Septiembre se tiene un avance gradual del 5% y en general se tiene un avance del 35% en total</t>
  </si>
  <si>
    <t>Para el mes de septiembre se tienen los siguientes avances:
1.Se desarrollaron 5 actividades para un total de 527 asistentes de acuerdo con lo establecido en el cronograma de ejecución del Proyecto Divulgación y Apropiación Social del Conocimiento y el acompañamiento de la oficina de prensa y de comunicaciones:
a. Se realizó seguimiento y acompañamiento al III coloquio nacional Deporte Patrimonio e Identidad, el 07 de septiembre de la presente anualidad con una asistencia de 78 personas. En este evento actuaron como ponentes. 
b. Realización y seguimiento capacitación Desarrollo de la Táctica de Competencias, para el Rendimiento Deportivo, el día 14 de Septiembre con una asistencia 117 personas.
c. Realización y seguimiento conversatorio virtual Deporte Comunal Como Eje de Transformación Social, el día 24 de septiembre con una participación de 104 personas.
d. Realización y seguimiento capacitación virtual Preparación Psicológica de los Atletas de Alto Rendimiento, el día 28 de septiembre con una participación de 127 personas.
e. Realización y seguimiento capacitación virtual la Actividad Física Humanizante, la confianza y la cultura ciudadana en Cartagena, actividad que fue realizada el día 30 de Septiembre de la presente anualidad con una participación de 101 personas.
2. Se realizó reunión presencial el día miércoles 22 de septiembre, con la Decana de Ciencias Sociales y Educación Física de la universidad San buenaventura la Dra Shirley Martínez Suza y el acompañamiento del coordinador del Observatorio del Deporte. El objeto era concretar avances de la alianza entre el Instituto Distrital de Deporte y Recreación IDER la USB. Esta propuesta está en estudio por las áreas jurídicas.</t>
  </si>
  <si>
    <t xml:space="preserve">Para el mes de septiembre se presentan los siguientes avances: 
1. DOCUMENTO DIAGNÒSTICO Y DE VALORACIÓN: Se realizó interpretación con base en la tabla de categorías de análisis. Se realizó ajustes a la metodología, se realizó  informe final. A corte de septiembre  se tiene un avance gradual porcentual del 20% por ciento y un avance total del 80%   quedando pendiente de aprobación y publicación del documento. Los anexos los pueden consultar en el siguiente enlace.
2. Protocolo de identificación del patrimonio: Después de desgrabar los grupos focales en la etapa 3, y finalizar etapas previas se inició construcción del documento protocolo de identificación del patrimonio deportivo, considerando una reestructuración en la metodología y tomando como base la revisión documental de la Unesco y del Ministerio de Cultura en la elaboración de dichos protocolos. Por consiguiente, a corte de septiembre se tiene un avance gradual porcentual del 2%  con la consolidación del documento y un avance  general se tiene un avance del 80% en total, finalizada la etapa 1 y 2 con avances en la etapa 3. 
3. Se realizó el III coloquio del Deporte, Patrimonio e Identidad “Una mirada del deporte desde el Patrimonio” el cual se llevo a cabo el día 7 de septiembre. </t>
  </si>
  <si>
    <t xml:space="preserve">A corte de septiembre se han otorgado un total de 3.764 permisos. De los cuales 34 han sido para el desarrollo de eventos deportivos. </t>
  </si>
  <si>
    <t>A corte de septiembre se ha beneficiado un total de 26.506 personas de las cuales: Deportistas 19.740, Entrenadores 2.160 y Aficionados 4.606</t>
  </si>
  <si>
    <t xml:space="preserve">Se desarrolló mesa de trabajo con la asesora técnica del Ministerio de Minas y Energía para verificar los documentos del proyecto de Campo de Softbol de Tierra Baja, se espera radicar el documento final en octubre de 2021. </t>
  </si>
  <si>
    <t>A corte de septiembre se tienen los siguientes avances: 
1. Se han elaborado los siguientes manuales: 1. Manual de Manejo de Césped; 2. Plan de Mitigación de Riesgos en los Escenarios Deportivos –PEMRED–;3. Política De Control De Calidad Y De Servicios En Los Escenarios Deportivos y 4. Políticas, Lineamientos Y Acciones Base Para SST Escenarios Deportivos.
2. Se han revisado (111) Fichas Técnicas Diagnostico, superando la meta anual 2021 es de noventa y dos (92) 
3. Para presentar los proyectos de PMR requirió tener actualizada las Fichas Técnicas de cada Unidad deportiva, con el objetico de validar al antes y el después ( Las reducciones de los niveles de riesgos - GTC 45) es decir, que se valida si hubo un incremento en la capacidad operativa de los escenarios deportivos. 
4. Se han realizado mantenimientos a 173 unidades deportivas( al menos 1 vez en la vigencia). en términos Mantenimientos Preventivos Recurrentes. 
5. Se han realizado en total  99 visitas (julio) para el cumplimiento de políticas de control de calidad en el servicio y funcionamiento y las políticas de salud ocupacional y reducción del riesgo «Riesgo Cero».</t>
  </si>
  <si>
    <t xml:space="preserve">Para el mes de septiembre se reportan los avances en las contrataciones ya cciones necesarias para la entrega de los estímulos otorgados a los organismos deportivos. 
</t>
  </si>
  <si>
    <t>Se tienen las siguientes acciones: 
1. Se realizó el noveno festival de tenis y valores en el complejo de raquetas donde participaron 90 niños de 10 ciudades de los cuales 30 eran de Cartagena.
2. En el estadio Mono Judas se realizó el cuadrangular internacional de beisbol pre junior donde estuvo un equipo internacional Panamá donde participaron 80 niños 
3. Se inauguró el primer torneo festival de Voleibol sentado para personas con discapacidad donde participaron 11 equipos del país q equivale a 120 deportistas.
4. En el coliseo Bernardo Caraballo se llevó a cabo el primer mega torneo de baloncesto que contó con la participación de 240 deportistas en categorías mayores y menores.
5. En el coliseo Chico de hierro se realizó el chequeo selectivo de levantamiento de pesas para la escogencia de las selecciones bolívar donde participaron 75 deportistas.
6. En el gimnasio de boxeo Andrés Gómez Hoyos se llevó a cabo el fogueo de enteramiento de taekwondo, 70 deportistas participaron.
7. Se realizo una reunión para la construcción, Barrismo social, proyecto del ministerio, con perspectiva social del distrito de Cartagena, liderado por el IDER y la escuela de gobierno.
8. Se inauguro el campeonato nacional de gimnasia modalidad trampolín en el coliseo de Combates y gimnasia Ignacio Amador de la Peña donde participaron 120 deportistas de diferentes ciudades</t>
  </si>
  <si>
    <t xml:space="preserve">En este periodo, se dio la ampliación de la etapa de inscripción la cual fue hasta el 20 de septiembre acuerdo con lo estipulado por el ministerio de Deporte. Se realizaron jornadas técnicas de socialización y desarrollo de diferentes disciplinas deportivas con los docentes de educación física de las instituciones educativas inscriptas. Así mismo se realizaron varias reuniones can la dirección general del instituto, presentado los avances y por menores que se han generado en la ejecución del programa. Se realizo reunión con en Mindeporte para analizar las metas alcanzadas en el desarrollo de las metas propuestas en los juegos Intercolegiados de esta vigencia. 
Debido a la situación actual del COVID-19, como ya se conoce, las instituciones educativas han estado en la modalidad virtual y actualmente aun la mayoría, siguen en esa modalidad; esto dificulta en gran manera en el cumplimiento y realización de los juegos Intercolegiados. En las visitas realizadas a las instituciones educativas muchas se mostraron desinteresados a participar por las razones: No están en la modalidad presencial, los padres de familia no autorizan a sus hijos a participar en los juegos Intercolegiados en modalidad presencial, no se sienten preparados para una participación presencial, entre otras razones particulares de las instituciones educativas. </t>
  </si>
  <si>
    <t>Se realizó el primer festival de atletismo  con la participación de los NNA de los núcleos, apoyo  a las ofertas institucionales, y visitas en los puntos de santana, participación de los juegos raizales de la isla de barú y en las actividades recreo deportivas  ciclo vías dominicales  y mi centro es Cartagena.
Para este periodo de ejecución se realizaron campañas de divulgación y promoción de la oferta institucional del instituto relacionada a la formación deportiva desde el proyecto de escuela de iniciación y formación deportiva;  para esto se organizaron grupos de trabajos integrados por los docentes y el equipo psicosocial de la escuela, quienes visitaron las comunidades (aplicando las medidas de bioseguridad para la mitigación del contagio COVID-19), de esta manera realizaron campañas de inscripción y motivación con los niños, niñas, jóvenes,  padres de familia y comunidad en general</t>
  </si>
  <si>
    <t>Se realizaron las siguientes acciones: 
1. Supervisar los entrenamientos de las personas con discapacidad realizadas por los docentes del programa de deporte social comunitario de forma virtual y presencial, esta supervisión y evaluación se hace todas las semanas en los deportes de futbol, boccia, atletismo, natación, baloncesto en silla de ruedas y voleibol sentado con el equipo de apoyo de discapacidad.     (Preparación a Juegos Distritales de la Discapacidad). 
2. El día 27 de septiembre se realizó reunión del equipo de trabajo de los Juegos Comunales donde se ultimaron detalles de Inauguración de las Justas Deportivas y los escenarios disponibles para realizar estas. 
3. Socialización con autoridades indígenas sobre implementación ancestral a utilizar en el marco de los juegos indígenas 2021.
4. Reunión con Álvaro bula jefe de cabildo Zhandero de bayunca para tratar tema sobre el juzgamiento de los juegos ancestrales.
5. Reunión el día 9 en la fundación talid para reorganizar los cronogramas de actividades y a su vez hacerles seguimiento a las diferentes acciones realizadas.
6. El día 15 se realizó una jornada de capacitación en el barrio José Antonio galán y el barrio Boston TEMA: beneficios de la práctica deportiva y un partido de futbol como cierre de la actividad con los NNAJ vinculados o en riesgo de vincularse al SRPA.</t>
  </si>
  <si>
    <t>1. Mesas de trabajo de forma virtual para la organización del primer torneo de voleibol sentado donde participaron el coordinador del evento, presidente liga de voleibol, director jefe de fomento deportivo (IDER), asesora de discapacidad (IDER), donde se llegaron a los acuerdos por parte del instituto como organización de la inauguración, escenario deportivo y recurso humano como apoyo durante en el desarrollo del evento (4 y 9 de septiembre del 2021).
2. Organización y desarrollo de un evento deportivo y recreativo para celebrar la semana internacional de las personas sordas, en el cual se desarrollaron actividades deportivas como el baloncesto, microfútbol, boccia adaptado, el Cornhole, además actividades recreativas como carreras en balón canguros, jala la cuerda, patos al agua y tierra, rondas, entre otras. Participaron 80 personas sordas, el equipo de apoyo de discapacidad, entrenadores, intérprete y asesora de discapacidad.  (30 de septiembre del 2021).</t>
  </si>
  <si>
    <t>Avance Meta proyecto a septiembre de 2021 (actividades)</t>
  </si>
  <si>
    <t xml:space="preserve">% AVANCE TÉCNICO DE LOS PROGRAMAS A  SEPTIEMBRE  DE 2021  </t>
  </si>
  <si>
    <t xml:space="preserve">Durante este periodo se realizaron las siguientes acciones:
1. Cinco (5) vías recreativas en los diferentes barrios de la ciudad, con la participación de 309 personas. 
2.  Dos (2) Vías Activas y Saludables - VAS con la participación de 1.874 personas. 
3. Un (1) evento de ciudad con la asistencia de 732 personas. 
4. Cinco (5) ciclopaseos con la participación de 666 personas. 
Las estrategias desarrolladas son: Martes en bici, Ciclovías dominicales, entre otras. </t>
  </si>
  <si>
    <t>Durante este periodo se realizaron las siguientes acciones:
1. Tres (3) talleres en técnicas de recreación. 
2. Asesorías a personas mayores. 
3. Artículación y apoyo en los eventos liderados por la administración distrital, como el denominado "Mi centro es Cartagena"</t>
  </si>
  <si>
    <t xml:space="preserve">AVANCE DE LA META DE BIENESTAR-SEPTIEMBRE 2021 </t>
  </si>
  <si>
    <t xml:space="preserve">OBSERVACIONES OCTUBRE   - https://1drv.ms/u/s!An_-YqStCA-JiGi2-vDjBXAmrYuU?e=boOoRO                                                                                                                                                                              </t>
  </si>
  <si>
    <t xml:space="preserve">1. Realizamos 7 capacitaciones en talleres y juegos para padres, madres y cuidadores con un total de 161 personas beneficiadas, de las cuales 107 fueron de primera infancia.
2. Se adelantaron 2 talleres de nutrición con la estrategia cocineritos en acción de manera presencial, donde se beneficiaron 61 niños de primera infancia.
3. Realizamos 2 escuelas para padres de manera presencial, impactando 103 personas.
4. En 7 talleres de actívate gestante se impactaron 49 mujeres adultas gestantes y lactantes.
5.La campaña de “Cuentos que no son Cuentos” por las fuertes  lluvias, se reprogramaron  las intervenciones para el mes de noviembre.
.
</t>
  </si>
  <si>
    <t xml:space="preserve">Para el mes de septiembre se reportan los avances en las contrataciones y  acciones necesarias para la entrega de los estímulos otorgados a los organismos deportivos. 
</t>
  </si>
  <si>
    <r>
      <t xml:space="preserve">
</t>
    </r>
    <r>
      <rPr>
        <sz val="18"/>
        <rFont val="Arial Narrow"/>
        <family val="2"/>
      </rPr>
      <t>Se realizo el día 21 de octubre el lanzamiento de los juegos comunales, donde asistieron los delegados y representantes de las comunidades afro que hacen parte de estos juegos. Se realizo la Inauguración de los Juegos del Retorno de los cuales hacen parte los Juegos Comunales</t>
    </r>
    <r>
      <rPr>
        <sz val="18"/>
        <color rgb="FFFF0000"/>
        <rFont val="Arial Narrow"/>
        <family val="2"/>
      </rPr>
      <t xml:space="preserve"> (</t>
    </r>
    <r>
      <rPr>
        <sz val="18"/>
        <color indexed="8"/>
        <rFont val="Arial Narrow"/>
        <family val="2"/>
      </rPr>
      <t>23 de octubre de 2021). A partir del 24 de octubre Se dio inicio a las programaciones Deportivas Juegos Comunales 2021 en los juegos en conjunto con las Disciplinas Futbol de Salón, Baloncesto y Kitbol, a partir del 30 de octbre se inicio con los juegos individuales, el día  28 de otcutbre de  2021 se realizo la entrega de recursos para implementación de los juegos ancestrales a los jefes de Cabildos para juegos Indígenas . Los Juegos Carcelarios se adelantaron actividades desde el día 5 de octubre se realizaron diferentes actividades recreo deportivas en la fundación TALID con los jóvenes en la modalidad de externado asi como el día 7 de octubre se realizó una actividad de integración, el "Picadito por la Integración y la Convivencia" con los Jóvenes vinculados al Sistema de responsabilidad Penal Adolescente pertenecientes a la fundación TALID y la fundación construyendo ciudad, el  evento se realizó en la cancha sintética del barrio Santa Lucia, el día 28 de octubre de 2021  entregamos la implementación y uniformes en la fundación TALID correspondiente a los juegos deportivos carcelarios.</t>
    </r>
  </si>
  <si>
    <t xml:space="preserve">APROPIACION DEFINITIVA A CORTE OCTUBRE 2021 </t>
  </si>
  <si>
    <t xml:space="preserve">REPORTE EJECUCIÓN PRESUPUESTAL CORTE OCTUBRE 2021 </t>
  </si>
  <si>
    <t xml:space="preserve">% EJECUCIÓN PRESUPUESTAL CORTE OCTUBRE 2021 </t>
  </si>
  <si>
    <t>Avance Meta proyecto a octubre de 2021 (actividades)</t>
  </si>
  <si>
    <t>REPORTE DE ACTIVIDADES DE   ENERO -OCTUBRE  2021</t>
  </si>
  <si>
    <t>% de avance en la meta de actividades a octubre de 2021</t>
  </si>
  <si>
    <t>REPORTE META PRODUCTO  ACUMULADO 31 DE OCTUBRE DE 2021</t>
  </si>
  <si>
    <t xml:space="preserve">%de avance Enero - 31 de Octubre  Meta año 2021 </t>
  </si>
  <si>
    <t>En el mes de octubre se continuo con el Prorgrama de Campamentos Juveniles, se llevo a acabo la actividad Camping por un día esta se realizó en cojunto con la secretaria de Participación y Desarrollo Social a través de la cual se beneficiriaron 82 personas.</t>
  </si>
  <si>
    <t xml:space="preserve">AVANCE DE LA META DE BIENESTAR-OCTUBRE 2021 </t>
  </si>
  <si>
    <t xml:space="preserve"> Visitas y Seguimiento del equipo pedagógico a los diferentes puntos de las tres localidades para el cumplimiento y recepción de las diferentes inquietudes.
 Con el equipo de prensa y EIFD se crearon estrategias publicitarias, que contiene piezas, grabación de videos de los docentes, equipo pedagógico y psicosocial que tiene como obje-tivo comunicar a la comunidad todas las actividades desarrolladas en cada una de las eta-pas y su importancia. 
 Participación en las ciclo vías organizadas por el equipo de recreación.  
 Articulación con el área de prensa para divulgación de las actividades desarrolladas por la EIFD
 Participación en el festival nacional de escuela de nuestra deportista del énfasis de natación nicol cortina la Madrid ganando en las 4 pruebas que participo 
 Realización de fogueo de Béisbol en los énfasis de La Candelaria y el Mono Judas  
 Realización de fogueo de Béisbol en los énfasis de los Cerros y Chiquinquirá
 Reafirmando nuestra tradición de ángeles somos  
 Talleres psicosociales dirigidos a los padres de familia y niños en los diferentes núcleos, én-fasis y perfeccionamiento de la EIFD- IDER.
 Atención a casos específicos, a través de visitas domiciliarias, atención en oficina, visitas psicosociales.
 Actividad de promoción de crecimiento y desarrollo, hábitos y estilos de vida saludable y en los diferentes núcleos y énfasis de la EIFD.
 Apoyo y participación en ofertas institucionales, con el objetivo de dar a conocer el programa y masificar los puntos.
 Asistencia y participación en mesas de trabajo y comités interinstitucionales. 
 Se ejecutó la segunda escuela para padres con la temática: Consecuencias del maltrato in-fantil en el adecuado desarrollo integral de los NNA
</t>
  </si>
  <si>
    <t xml:space="preserve">Para esta vigencia del mes de octubre se envió al área de prensa la información para publicar en redes sociales los de eventos que se realizaron en pro de los juegos Intercolegiados nacionales, los cuales se llevaran a cabo mediante diversas fases, entre las que se encuentran: la fase de inscripciones, la fase municipal y departamental, la fase regional nacional y la fase final nacional.
Para masificar la información con las instituciones educativas, se creó un grupo de comunicación por medio de la plataforma WhatsApp, con el cual se han enviado diferentes informaciones para la organización y realización de las diferentes actividades encaminadas a los juegos Intercolegiados municipal, entre esas la invitación a participar a la inauguración de los juegos Intercolegiados, esta información se les compartió a las diferentes instituciones inscriptas de las tres localidades, docentes y profesores de educación física. 
Se realizaron diferentes reuniones técnicas para socializar referentes relacionados con los juegos y competencias en las diferentes disciplinas deportivas tales como Basquetbol y Voleibol para competencia en conjunto, realizado en Complejo de Raquetas el día 01 de octubre, estuvo dirigida por los Profesionales en Deporte Roberto Sierra y Eduardo Echenique y se contó con la asistencia de 10 docentes de educación física de las diferentes instituciones educativas inscritas. Así mismo se realizaron diversas reuniones con el equipo de deporte y los coordinadores de juegos en conjunto el día 12 de octubre y con los coordinadores de juegos individual el día 15 de octubre, ambas reuniones tuvo como base central, la organización, alistamiento y referentes de los juegos y competencias de los juegos Intercolegiados.  
Se continuo con las reuniones técnicas para socializar referentes relacionados con los juegos y competencias con los coordinadores de juego individual, dando lugar a las disciplinas deportivas de Judo, Taekwondo, Patinaje, Atletismo y Karate, realizado en el coliseo de combate los 20 y 21 de octubre.  
Se convoco reunión con todo el equipo de deporte y coordinadores de los diferentes deportes, en la cual se detallaron los referentes de la inauguración y se delegaron funciones a cada personal. 
Entre estas actividades se realizó la inauguración de los juegos Intercolegiados el día 22 de octubre, asistiendo 23 instituciones educativas del distrito entre públicas y privadas, con esto logramos una gran asistencia, teniendo en cuenta que se convocaron 25 instituciones a este gran evento, se realizó en el coliseo Norton Madrid a partir de las 10 am, así mismo se contó con la participación de la Dra. Viviana Londoño directora del Instituto de Deporte y Recreación - IDER, Dr. Gustavo González Jefe del Área de Deporte, Dra. William Marrugo jefe de Fomento Deportivo y Recreativo, un representante de la secretaria de educación y un representante de las Instituciones Educativas, quienes conformaron la mesa principal, en este mismo evento se realizó un partido inaugural de futbol de salón entre las Instituciones Educativas Antonio Ramos la Salle y  los  Salesianos, siendo el resultado 6 – 1 ganando los Salesianos. 
</t>
  </si>
  <si>
    <t>Para  este mes de octubre se apoyaron 5 eventos deportivos como :                                                                                                                                                                                                          • En este periodo se realizó el III Torneo de Ajedrez a la Rueda Rueda en el Complejo de Raquetas donde participaron 140 niños y jóvenes de diferentes ciudades del país.
• En el Complejo de Raquetas se llevó a cabo el II Torneo Nacional de Tenis grado 3 en las categorías sub 12 ala sub 18 masculino y femenino, participaron 130 deportistas de Atlán-tico, Bogotá, Antioquia, Bolívar, Cesar, Tolima, Meta, ect.
• En la pista de atletismo Campo Elías se realizó el Campeonato Regional Costeño de Atletismo en las categorías sub 14 y 16 participaron 190 atletas de diferentes departamentos.
• Se realizo el lanzamiento del Club Deportivo Mar Abierto en puerto duro donde participaron los deportistas EIFD.
• En el Coliseo de Chico de Hierro se realizó el torneo regional de tenis de mesa por Panda Club TM donde participaron 60 deportistas en las categorías de 13 y 14 años.</t>
  </si>
  <si>
    <t>En el mes de octubre se supervisaron los entrenamientos de las personas con discapacidad realizadas por los docentes del programa de deporte social comunitario de forma virtual y presencial, esta supervisión y evaluación se hace todas las semanas en los deportes de futbol, boccia, atletismo, natación, baloncesto en silla de ruedas y voleibol sentado con el equipo de apoyo de discapacidad. (Preparación a Juegos Distritales de la Discapacidad). Se continuo con la organización y realización de los talleres de lengua de señas, con el apoyo de la intérprete GILMA IDARRAGA, el cual se realiza todos los lunes con los docentes y per-sonal de apoyo que hace atención a las personas con condición de discapacidad en el instituto y departamento de Bolívar en el área de deporte y recreación. En total son 15 personas que hacen parte del proceso. (4-11-18-25 de octubre del 2021). Se brindo apoyo a las actividades realizadas en el Centro Comercial los ejecutivos de actividad física “Actívate por la inclusión”, esta actividad es organizada por el área de recreación el día 6 de octubre del 2021 participaron 19 personas con discapacidad y el 18 de octubre 2021 participaron 7 personas con discapacidad, en cada uno de estos eventos siempre se cuenta con el apoyo de la interprete. Reunión con los entrenadores y equipo de apoyo para organizar entrega de uniformes y seguir en el proceso de organización de los juegos de la discapacidad, asistieron los entrenadores de boccia, natación, atletismo, voleibol sentado, futbol y equipo de apoyo del programa. (20 de octubre del 2021).Entrega de uniformes a los diferentes equipos y deportes individuales que participaran en los juegos de la discapacidad. En total se entregaron 75 uniformes de futbol, 35 uniformes de baloncesto en silla de ruedas, 20 en baloncesto auditivo, 20 uniformes de ajedrez, 60 uniformes de voleibol sentado, 68 uniformes de futbol sala. Quedaron pendiente por entregar los uniformes de atletismo, softbol, natación y golito. Se estan realizando tres estrategias como son: Los Juegos Comunales, Los Juegos Afros  y los Juegos de Discacpidad.</t>
  </si>
  <si>
    <t>En el mes de octubre participaron 1.317 personas a través de  insticuiones educativas , grupos organizados de adolescentes y  jónes, hogares comuniitarios y/o CDI,  135 personas paticipantes en eventos con la Alcaldía Mayor, 605 niños y niñas entre 8 y 14 años, 142 personas mayores de 60 años para un total de beneficiados de 2.199.  De las personas atendidas en el indicador de Vacaciones Recreativas 432 están en rango de edades diferente al del indicador.</t>
  </si>
  <si>
    <t xml:space="preserve"> Se realizaron en este mes de octubre de 2021  dos eventos de playas  además contamos con otras acciones  como  5 vias  recreativas en diferentes barrios  entre otros . Gracias a los nuevos decretos que estipulan en aumento del aforo permitido en las actividades en espacios públicos se ha retomado las ciclo vías barriales las cuales venimos adelantando 2 por cada domingo que no tenemos ciclovías de ciudad y los eventos de playa con las medidas de bioseguridad estipuladas por la norma, hemos tenido aciertos satisfactorios en la vuelta a la presencialidad ya que las personas se encuentran motivadas y entusiasmadas con la participación a las diferentes actividades propuestas desde el instituto y las de apoyo a otras entidades públicas y privadas.</t>
  </si>
  <si>
    <t>Las jornadas de tamizaje con los grupos de persona Mayor se han retomado pausadamente, este se hicieron enlaces con las coordinadoras de diferentes centros de vidas y ya se están organizando actividades con ellos, manejando todo el protocolo de Bioseguridad.
2. Este mes se iniciaron jornadas en los centros penitenciarios y carcelarios en la EPCC San Sebastián de Ternera y en la Cárcel distrital de mujeres impactando en las personas privadas de la liberta, también se inició abordaje con jornadas de actividad física y recreativas en la Fundación Talid, no se ha realizado tamizajes, ya que una parte de la población no ha querido participar de la misma.                                                                                                                                                        3. Seguimos generando nuestra oferta virtual, en este mes se abordó encuentros académicos entorno a la prevención y detección temprana de Cáncer de mama.</t>
  </si>
  <si>
    <t>1. Se tiene inscritos a corte del mes un total de 3.500 usuarios en la Plataforma Hércules.
2. En los centros comerciales nuestras sesiones de actividad física dirigida musicalizada de las estrategias Madrúgale a la Salud y Noches Saludables han impactado en promedio un total de 354 usuarios.
3. En el mes se impactó de manera virtual desde el proyecto de mejoramiento de los estilos de vida mediante la promoción masiva de una vida activa, en sus estrategias: Madrúgale a La Salud (21.300 reproducciones y 158 personas en vivo), Noches Saludables (17.672 reproducciones y 121 personas en vivo) y Joven Saludable (4.245 reproducciones y 34 personas en vivo).                                                                                                                                                                                                                   4. se impactaron en los eventos de concentración (10) un total de 482 usuarios y en los eventos de promoción (4), un total de 160 usuarios.</t>
  </si>
  <si>
    <t>El Centro de Acondicionamiento Físico CAF – IDER se encuentra en plan de modernización y mantenimiento de máquinas y elementos.
2. A corte de octubre 29 se impactan cuatro parques biosaludables del Distrito, en los barrios de Bruselas, Los Alpes, La Plazuela y Ciudad Jardín. Realizando su debido proceso de evaluación y seguimiento de aptitud física a los usuarios del proyecto</t>
  </si>
  <si>
    <t xml:space="preserve">A corte de octubre  se han otorgado un total de 4.133 permisos. De los cuales 46  han sido para el desarrollo de eventos deportivos. </t>
  </si>
  <si>
    <t>A corte de octubre se ha beneficiado un total de 31.489 personas de las cuales: Deportistas 23.615, Entrenadores 385 ,  2.303  Administradores y 3.186 Aficionados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</si>
  <si>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debe realizar seguimiento a estos planes trimestralmente.</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</si>
  <si>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realizá  a estos planes seguimiento  trimestralmente.</t>
  </si>
  <si>
    <t>Durante el mes de Octubre se desarrollaron 5 actividades para un total de 619 asistentes de acuerdo a lo establecido en el cronograma de ejecución del Proyecto Divulgación y Apropiación Social del Conocimiento y el acompañamiento de la oficina de prensa y de comunicaciones. esta actividades fueron las siguientes:                                                                                                                                                                                                                                                                                                                                           ● Realización y seguimiento capacitación Construcción de Ciudadanía Desde de Iniciación y
Formación Deportiva, el día 5 de Octubre con una asistencia 131 personas y como ponentes
nos acompañaron José Paola y Angie Manjarrez
● Realización y seguimiento conversatorio Padres de familia y entrenadores articulados en la
construcción de ciudadanía., el día 12 de Octubre con una participación de 185 personas y
la ponencias del Tania Sarabia Quintero ( Psicóloga EIFD) y Mildrey Fatima Mesa
Gallego.
● Realización y seguimiento conversatorio virtual Conversatorio Patrimonio e Identidad
Campamentil Para Jóvenes y Adolecentes" el día 14 de Octubre con una participación de
124 personas y la ponencia Carlos Lamadrid - Área de Recreación José William Bernal -
Ministerio Del Deporte y Jóvenes Campistas que participan en este proyecto.
● Realización y seguimiento capacitación virtual ejercicio físico como parte de la estrategia de
intervención en el tratamiento para cáncer de mama actividad que fue realizada el día 22 de
Octubre de la presente anualidad con una participación de 129 personas y la ponencia de la
Lic Diana Milena Díaz y la Dra Viviana Londoño Moreno.
● Realización y seguimiento Conversatorio virtual " La influencia del periodismo deportivo en
la construcción de ciudadanía ", actividad que fue realizada el día 28 de Octubre de la
presente anualidad con una participación de 50 personas y la ponencia de la Lic Sigfredo
Gómez Tinoco</t>
  </si>
  <si>
    <t>Producto: DOCUMENTO DIAGNÒSTICO Y DE VALORACIÓN
Se adelanta proceso de contratación para la elaboración del documento diagnostico
Producto: protocolo de identificación del patrimonio
En proceso de contratación para la elaboración del protocolo e identificación del patrimonio.
Producto: 4 fichas de caracterización
En proceso de contratación para la identificación de la caracterización de las fichas.
Producto: 3 actas de preservación y conservación del Acervo deportivo de la ciudad y el
departamentoEn procesos de contratación para la elaboración de las actas de preservación y conservación del Acervo
deportivo de la ciudad y el departamento.
Producto: 2 Piezas de Memoria
En procesos de contratación para la identificación de las 2 piezas de
Producto: 5 coloquios sobre Acervo deportivo
Se adelantan preparativos para la realización del el IV coloquio “Memoria Histórica Del Deporte Cartagenero y
Bolivarense” conmemoración de los 40 años del título de copa mundo obtenido por el Mascara Maturana. Se
fijó como fecha de realización el 18 de noviembre de la presente anualidad.
Elaboración de la crónica en honor a la gesta deportiva Miguel Mascara Maturana que se publicara en la
fecha de IV Coloquio.
Nota: Se programó el Coloquio Internacional y la presentación de las piezas para el mes de diciembre de la
presente anualidad.</t>
  </si>
  <si>
    <t>% de avance del programa a 31 de Octubre de   2021</t>
  </si>
  <si>
    <t xml:space="preserve">A corte de octubre se tienen los siguientes avances: 
1. Se han elaborado los siguientes manuales: 1. Manual de Manejo de Césped; 2. Plan de Mitigación de Riesgos en los Escenarios Deportivos –PEMRED–;3. Política De Control De Calidad Y De Servicios En Los Escenarios Deportivos y 4. Políticas, Lineamientos Y Acciones Base Para SST Escenarios Deportivos.
2. Se han revisado (111) Fichas Técnicas Diagnostico, superando la meta anual 2021 es de noventa y dos (92) 
3. Para presentar los proyectos de PMR requirió tener actualizada las Fichas Técnicas de cada Unidad deportiva, con el objetico de validar al antes y el después ( Las reducciones de los niveles de riesgos - GTC 45) es decir, que se valida si hubo un incremento en la capacidad operativa de los escenarios deportivos. 
4. Se han realizado mantenimientos a 173 unidades deportivas( al menos 1 vez en la vigencia). en términos Mantenimientos Preventivos Recurrentes. 
5. Se han realizado en total  99 visitas (julio) para el cumplimiento de políticas de control de calidad en el servicio y funcionamiento y las políticas de salud ocupacional y reducción del riesgo «Riesgo Cero».                                                                                                                                                                                                                                                                       Comisiones para visita técnica de octubre de 2021 .
• Barrio Nuevo Chile- Verificación del estado actual de la cancha de Nuevo
Chile.
• Barrio Bruselas-Verificación del estado actual de la cancha de Bruselas.
• Isla Grande-Visita técnica para la formulación de proyecto de escenario
deportivo en Isla Grande.
• Barrio Santa Mónica-Verificación del estado actual de la cancha de Santa
Mónica, detrás del Shopping Center.
• Barrio El Socorro-Verificación de estado actual de las canchas que se
encuentran al lado del colegio Techo Rojo.
• Conjunto Palmas de Salamanca-Visita técnica por solicitud de construcción
de escenario deportivo.
• Urbanización Chapacua- Verificación del estado actual del Campo de
Softbol de Chapacua.                                                                                                                                                                                                                                                            En el mes de octubre de 2021 se adjudicaron contratos de obras para adecucación de 41 escenarios deportivos y además se realizará el mantemineto de la Iluminaria de el campo de Softbol de la Boquilla </t>
  </si>
  <si>
    <t xml:space="preserve"> El 22 de octubre de 2021  se  llevo a cabo la entrega de implementación deportivos a ligas y clubes de Cartagena correspondiente a la Convocatoria Púiblica para la Entrega de Apoyos a los Organismos Deportivos Año 2020 asi mismo se esta organizando  la entrega de la implementación deportiva a ligas y clubes en el mes de Noviembre de la Convocatoria Púiblica para la Entrega de Apoyos a los Organismos Deportivos del Año 2021. De esta entrega se beneficiaron 1.475 deportitas de los clubes y ligas.
</t>
  </si>
  <si>
    <t xml:space="preserve"> El 22 de octubre de 2021  se  llevo a cabo la entrega de implementación deportivos a ligas y clubes de Cartagena correspondiente a la Convocatoria Púiblica para la Entrega de Apoyos a los Organismos Deportivos Año 2020 asi mismo se esta organizando  la entrega de la implementación deportiva a ligas y clubes en el mes de Noviembre de la Convocatoria Púiblica para la Entrega de Apoyos a los Organismos Deportivos del Año 2021.De esta entrega se beneficiaron 1.475 deportitas de los clubes y ligas.
</t>
  </si>
  <si>
    <t xml:space="preserve">Se esta reconstruyendo el Campo de Beisbol Menor de Martinez Marttelo  y se adjudicaron contratos para la reconstrucción de los escenarios de Olaya Sector Central y Villa Rubia  El proyecto del Campo de Softbol de Tierra Baja, se encuentra en revisión por el Ministerrio del Deporte. </t>
  </si>
  <si>
    <t>Producto: Red de conocimiento científico a 30 de octubre se tiene un avance gradual del 0% y en general se tiene un avance del 60% en total.  Producto: Alianzas a 30 de octubre se tiene un avance gradual del 0% y en general se tiene un avance del 14% en total.Producto: Semillero de investigación a 30 de octubre se tiene un avance gradual del 10% y en general se tiene un avance del 90% en total.Producto: Artículo científico a 30 de octubre se tiene un avance gradual del 10% y en general se tiene un avance del 90% en total.Producto: Encuentro científico a 30 de octubre se tiene un avance gradual del 5% y en general se tiene un avance del 55% en total.Producto: crónicas a 30 de octubre se tiene un avance de 2 crónicas y en total se tiene un avance de 10 total. Producto: banco de datos a 30 de octubre se tiene un avance gradual del 5% y en general se tiene un avance del 40% en total . En el mes de octubre se publico una crónica  "Gustavo Mercado-Del Empirismo a Entrenador Certificado" .</t>
  </si>
  <si>
    <t xml:space="preserve">% AVANCE TÉCNICO DE LOS PROGRAMAS A  OCTUBRE  DE 2021  </t>
  </si>
  <si>
    <t xml:space="preserve">AVANCE DE LA META DE BIENESTAR-NOVIEMBRE  2021 </t>
  </si>
  <si>
    <t>REPORTE META PRODUCTO  ACUMULADO 30 DE NOVIEMBRE  DE 2021</t>
  </si>
  <si>
    <t xml:space="preserve">%de avance Enero - 30 de Noviembre  Meta año 2021 </t>
  </si>
  <si>
    <t>% de avance del programa a 30 de Noviembre  de   2021</t>
  </si>
  <si>
    <t>REPORTE DE ACTIVIDADES DE   ENERO -NOVIEMBRE  2021</t>
  </si>
  <si>
    <t>% de avance en la meta de actividades a noviembre  de 2021</t>
  </si>
  <si>
    <t xml:space="preserve">APROPIACION DEFINITIVA A CORTE NOVIEMBRE 2021 </t>
  </si>
  <si>
    <t xml:space="preserve">REPORTE EJECUCIÓN PRESUPUESTAL CORTE NOVIEMBRE  2021 </t>
  </si>
  <si>
    <t xml:space="preserve">% EJECUCIÓN PRESUPUESTAL CORTE NOVIEMBRE  2021 </t>
  </si>
  <si>
    <t xml:space="preserve">OBSERVACIONES NOVIEMBRE    - https://1drv.ms/u/s!An_-YqStCA-JiGi2-vDjBXAmrYuU?e=boOoRO                                                                                                                                                                              </t>
  </si>
  <si>
    <t>Avance Meta proyecto a noviembre  de 2021 (actividades)</t>
  </si>
  <si>
    <t xml:space="preserve">% AVANCE TÉCNICO DE LOS PROGRAMAS A  NOVIEMBRE  DE 2021  </t>
  </si>
  <si>
    <t xml:space="preserve"> Visitas y Seguimiento del equipo pedagógico a los diferentes puntos de las tres localidades para el cumplimiento y recepción de las diferentes inquietudes.
 Con el equipo de prensa y EIFD se crearon estrategias publicitarias, que contiene piezas, grabación de videos de los docentes, equipo pedagógico y psicosocial que tiene como obje-tivo comunicar a la comunidad todas las actividades desarrolladas en cada una de las eta-pas y su importancia. 
 Participación en el campamento de taekwondo organizado por la liga de nuestros NNA de énfasis y perfeccionamiento
 Participación en la reunión con el equipo de deporte en cabeza del jefe de fomento deportivo con la universidad san buenaventura para el apoyo en el proyecto de establecer las bases y criterios de colaboración y cooperación recíproca que permitan la implementación de la estra-tegia Fútbol con Principios en el marco del proyecto denominado “Mejora de la integración de los refugiados venezolanos en ocho barrios de Cartagena a nivel social, económico y sanita-rio”,
 Énfasis béisbol la Candelaria profesor Jaime castillo pinto jornada única en la tarde contra los cerros, asistencia grupo 1 un total de 25 personas, juego de intercambio.   Festival y clínica de atletismo en el corregimiento de Ararca a cargo del docente Álvaro Her-nández 
 Articulación con el área de prensa para divulgación de las actividades desarrolladas por la EIFD
 Talleres psicosociales dirigidos a los padres de familia y niños en los diferentes núcleos, én-fasis y perfeccionamiento de la EIFD- IDER.
 Atención a casos específicos, a través de visitas domiciliarias, atención en oficina, visitas psicosociales. 
 Actividad de promoción de crecimiento y desarrollo, hábitos y estilos de vida saludable y en los diferentes núcleos y énfasis de la EIFD.
 Apoyo y participación en ofertas institucionales, con el objetivo de dar a conocer el programa y masificar los puntos. 
 Asistencia y participación en mesas de trabajo y comités interinstitucionales. 
 Apoyo a juegos Intercolegiados en primeros auxilios a deportistas participantes
</t>
  </si>
  <si>
    <r>
      <t xml:space="preserve">Para este periodo del mes de noviembre, se logró enviar al área de prensa la información para publicar en redes sociales a cerca de los eventos que se realizaron en pro de los juegos Intercolegiados nacionales, los cuales se llevaran a cabo mediante diversas fases, entre las que se encuentran: la fase de inscripciones, la fase municipal y departamental, la fase regional nacional y la fase final nacional.
En el mes de noviembre, durante el periodo del 01 noviembre al 21 de noviembre, se empezaron las competencias en los diferentes escenarios deportivos del distrito de Cartagena. La cual, estará bajo la responsabilidad de los coordinadores de cada deporte.  Se envió la información correspondiente a cada coordinador de los diferentes deportes para las competencias de los Intercolegiados 2021; los deportes en competencia en la fase departamental fueron deportes individuales y deportes en conjunto. 
• Individuales: ajedrez, judo, tenis de meza, tenis de campo, patinaje, karate, atletismo, lucha, taekwondo, levantamiento de pesas gimnasia, natación y boxeo.
• Deportes en conjunto: futbol, futbol de salón, futbol sala, volibol y basquetbol. 
El día 18 de noviembre, se dio inicio a la fase departamental en los municipios de San Juan Nepomuceno, San Jacinto y el Carmen de Bolívar, con cuatro (4) modalidades deportivas:
• Voleibol, 
• Baloncesto, 
• Fútbol femenino 
•  Fútbol masculino.
• Fútbol sala
• Fútbol de salón
Equipos clasificados a la parte departamental fueron:
Voleibol: Institución Educativa Trinitario (categoría juvenil femenino)
Baloncesto: INEM (categoría juvenil masculino)
                      ASPAEN (categoría prejuvenil masculino)
Futbol Femenino: Nuestra Señora del Carmen (categoría prejuvenil y juvenil)
Futbol Masculino: técnica de Pasacaballo (categoría juvenil)
Futbol sala: Ararca (categoría prejuvenil femenino)
                     Salesianos San Pedro Clavel (categoría prejuvenil masculino)
Futbol de salón: Escuelas Salesianas (categoría juvenil masculino- femenino)
Deportes Individuales clasificados a la fase Departamental
Boxeo, levantamiento de pesas, ajedrez, atletismo, softbol, beisbol y patinaje.
Equipos clasificados a la fase regional categoría prejuvenil.
Futbol Femenino: Nuestra Señora del Carmen (categoría prejuvenil y juvenil)                                                                                                                                                                                        </t>
    </r>
    <r>
      <rPr>
        <b/>
        <sz val="16"/>
        <color theme="1"/>
        <rFont val="Arial Narrow"/>
        <family val="2"/>
      </rPr>
      <t xml:space="preserve">Festivales Escolares </t>
    </r>
    <r>
      <rPr>
        <sz val="16"/>
        <color theme="1"/>
        <rFont val="Arial Narrow"/>
        <family val="2"/>
      </rPr>
      <t xml:space="preserve">
Este es una prueba más de los juegos Intercolegiados llamada festiva escolar,  que integra a niños y niñas entre las edades de 7 a 10 años, en donde se realizan  unas series de pruebas física y técnicas que estimulan las habilidades y la destreza motora de los niños, mediante la ejecución de diferentes pruebas, propiciando la participación de niños y niñas de las diferentes instituciones educativas de la ciudad inscriptas en los juegos Intercolegiados. 
Las pruebas que se desarrollan en los festivales escolares son:
1.carreras con obstáculos
2.pruebas de agilidad
3.lanzamientos
4.recepcion de balón  5. Carreras de relevos
Futbol sala:  Salesianos San Pedro Clavel (categoría prejuvenil masculino)
Voleibol: Colegio Bilingüe Altamar (categoría prejuvenil femenino)
Equipos clasificados a la fase regional categoría juvenil.
Baloncesto: INEM (categoría juvenil masculino)
Futbol Femenino: Nuestra Señora del Carmen (categoría juvenil)
Futbol de salón: Escuelas Salesianas (categoría juvenil masculino- femenino)
FASE REGIONAL
Fecha: 08-10 diciembre categoría prejuvenil
            10-12 diciembre categoría juvenil
Sede: Montería 
</t>
    </r>
  </si>
  <si>
    <t xml:space="preserve"> Se llevo a cabo la entrega de implementación deportiva-uniformes a ligas y clubes de Cartagena correspondiente a la convocatoria 2020-2021
</t>
  </si>
  <si>
    <t>• En este periodo del mes de noviembre se apoyaron dos eventos: La copa internacional de la amistad de softbol en el estadio de Chiquinquirá Argemiro Bermúdez donde participaron Cuba, Panamá y Colombia
asi como también se desarrolló la Serie Internacional  de Béisbol organizada por el Club Pelota Caliente, en esta oportunidad participaron las categorías Pre junior, Junior y juvenil, en el estadio Abel Leal Diaz .</t>
  </si>
  <si>
    <r>
      <t xml:space="preserve">Duratnte este mes de noviembre se adelantaron diferentes estrategias del programa :  • Los juegos Indígenas comenzarán desde el 4 de diciembre y durante todo el mes, por circunstancias naturales (temporada de invierno) no se había podido iniciar los juegos, por el estado de las canchas y campos de los Cabildos para las justas.
• Se comenzarán de manera simultánea todos los fines de semana: sábados a partir de las 02:00 a 05:00 pm y domingos desde las 08:00 am a 05:00 pm, porque los Cabildos y escenarios carecen de alumbrado eléctrico.                                                                                                                                                                                                                                                                                             </t>
    </r>
    <r>
      <rPr>
        <b/>
        <sz val="18"/>
        <color indexed="8"/>
        <rFont val="Arial Narrow"/>
        <family val="2"/>
      </rPr>
      <t xml:space="preserve"> LAS ACCIONES Y EJECUCIÓN DE LOS JUEGOS COMUNALES</t>
    </r>
    <r>
      <rPr>
        <sz val="18"/>
        <color indexed="8"/>
        <rFont val="Arial Narrow"/>
        <family val="2"/>
      </rPr>
      <t xml:space="preserve">
 Actividades realizadas del 1 al 15 de noviembre
En este periodo de tiempo se recibió gran parte de implementos deportivos y de uniformes de los Juegos Comunales 2021.                                                                                                                               El 4 de noviembre de 2021 se embarcó a la delegación del Distrito de Cartagena rumbo al Municipio de Magangué.
 Del 1° de Noviembre al 30 del mismo se realizaron las programaciones de las diferentes disciplinas deportivas.                                                                                                                                           </t>
    </r>
    <r>
      <rPr>
        <b/>
        <sz val="18"/>
        <color indexed="8"/>
        <rFont val="Arial Narrow"/>
        <family val="2"/>
      </rPr>
      <t>LAS ACCIONES Y EJECUCIÓN JUEGOS INDIGENAS</t>
    </r>
    <r>
      <rPr>
        <sz val="18"/>
        <color indexed="8"/>
        <rFont val="Arial Narrow"/>
        <family val="2"/>
      </rPr>
      <t xml:space="preserve">
 Actividades realizadas noviembre de 2021.
Entrega de Recursos para implementación de los juegos ancestrales a los jefes de Cabildos para juegos Indígenas
• Se realizó la entrega del 50% de los recursos restante para la compra de implementación ancestral a todos los jefes de cabildo.
• Visita a los cabildos para socializar sistemas de competencia y verificación de escenarios para desarrollar las justas deportivas.
• Verificación de la compra de la implementación ancestral
</t>
    </r>
  </si>
  <si>
    <r>
      <rPr>
        <b/>
        <sz val="18"/>
        <color indexed="8"/>
        <rFont val="Arial Narrow"/>
        <family val="2"/>
      </rPr>
      <t>LAS ACCIONES Y EJECUCIÓN DE LOS JUEGOS DE DISCAPACIDAD</t>
    </r>
    <r>
      <rPr>
        <sz val="18"/>
        <color indexed="8"/>
        <rFont val="Arial Narrow"/>
        <family val="2"/>
      </rPr>
      <t xml:space="preserve">
 Supervisar los entrenamientos de las personas con discapacidad realizadas por los docentes del programa de deporte social comunitario de forma presencial, esta supervisión y evaluación se hace todas las semanas en los deportes de futbol, boccia, atletismo, natación, baloncesto en silla de ruedas y voleibol sentado con el equipo de apoyo de discapacidad.                                                                                       Se asistió a las mesas de trabajo organizadas por la secretaria de participación  la conme-moración del día de la discapacidad donde asisten diferentes dependencias del distrito como policía nacional, secretaria de educación, fundación el rosario, fundación REI, transcribe y diferentes entidades que trabajan con esta población, esta conmemoración se realizara el día 19 de diciembre desde las 6:30 am con una maratón donde el IDER participara con sus de-portistas con discapacidad y equipo de trabajo, préstamo de escenario del coliseo de comba-te y sonido (10 y 30 de noviembre del 2021).                                                                  Organización para la entrega de 70 uniformes de atletismo, la cual se desarrolló en el coliseo chico de hierro el día 24 de noviembre del 2021, esta entrega se hizo para la participación en los Juegos de la Discapacidad.                                                                                                                                                                                                                                                                                      Reunión con los entrenadores y equipo de apoyo para organizar celebración día de la discapacidad que está programada para el 6 de diciembre del 2021 a las 2: 00 pm cancha Santa Lucia y demás actividades a desarrollar en el mes de diciembre participaron los entrenadores de natación, futbol, boccia, voleibol sentado.                                                                                                                                                   </t>
    </r>
    <r>
      <rPr>
        <b/>
        <sz val="18"/>
        <color indexed="8"/>
        <rFont val="Arial Narrow"/>
        <family val="2"/>
      </rPr>
      <t>LAS ACCIONES Y EJECUCIÓN JUEGOS CARCELARIOS</t>
    </r>
    <r>
      <rPr>
        <sz val="18"/>
        <color indexed="8"/>
        <rFont val="Arial Narrow"/>
        <family val="2"/>
      </rPr>
      <t xml:space="preserve">
 el día 2 de noviembre se realizó la de entregamos la implementación deportiva a los jóvenes vinculados al SRPA de la fundación TALID para el desarrollo de las actividades deportivas.                                        El día 3 de noviembre se realizó entregamos la implementación deportiva en la cárcel de ternera, de igual manera dimos inicio al desarrollo de las actividades deportivas.                                                              El día 3 se realizó la entregamos la implementación deportiva a los jóvenes vinculados al SRPA de la fundación TALID en la sede Torices para el desarrollo de las actividades, así mismo se realizaron actividades de las mismas.                                                                                                                                                                                                                                                                                     El día 4 de noviembre se realizó entregamos la implementación deportiva en la cárcel distri-tal de mujeres para el desarrollo de las actividades deportivas.                                                                                   El día 17 de noviembre se realizó la entrega de la implementación deportiva a los jóvenes vinculados al SRPA de la fundación Construyendo Ciudad para el desarrollo de las actividades deportivas.                      Se realizo un taller motivacional con los jóvenes de la fundación Construyendo Ciudad para mejorar la calidad de vida a través de la práctica del deporte y la recreación.                                                              El día 25 noviembre se realizó un acompañamiento en la cárcel de mujeres para realizar una actividad deportiva por motivo de conmemorar el día internacional contra la no violencia sexual contra la mujer.         </t>
    </r>
    <r>
      <rPr>
        <b/>
        <sz val="18"/>
        <color indexed="8"/>
        <rFont val="Arial Narrow"/>
        <family val="2"/>
      </rPr>
      <t xml:space="preserve">LAS ACCIONES Y EJECUCIÓN DE LOS JUEGOS CORREGIMENTALES </t>
    </r>
    <r>
      <rPr>
        <sz val="18"/>
        <color indexed="8"/>
        <rFont val="Arial Narrow"/>
        <family val="2"/>
      </rPr>
      <t xml:space="preserve">
 Actividad realizada el día 21 de noviembre de 2021
Se realizo la inauguración de los juegos corregimentales, donde se conto con presencia de la Dra. Vi-viana Londoño, el Dr. William Marrugo, el Dr. Gustavo Martines y lideres corregimentales. Realizada en el corregimiento de la boquilla, donde hicieron presencias los corregimientos de Barú, Bayunca, Man-zanillo del Mar, Tierra Bomba, Pasacaballo, Arroyo de Piedra, Bocachica, entre otras.                                         Se realizo la entrega de la implementación de uniformes a cada monitor por corregimiento y disciplina deportiva.  Se realizo la entrega de la implementación de uniformes a cada monitor por corregimiento y disciplina deportiva.  Se iniciaron las competencias de los juegos corregimentales. 
</t>
    </r>
  </si>
  <si>
    <t xml:space="preserve">Durante el mes de noviembre se desarrollaron 5 actividades para un total de 420  asistentes de acuerdo a lo establecido en el cronograma de ejecución del Proyecto Divulgación y Apropiación Social del Conocimiento y el acompañamiento de la oficina de prensa y de comunicaciones. esta actividades fueron las siguientes:   
• Realización y seguimiento capacitación Madurez Emocional En La Práctica Deportiva, el día 4 de Noviembre con una asistencia 75 personas y como ponentes nos acompañó la Dra. Tania Sarabia.
• Se realizó reunión de revisión de cronograma de actividades el día 5 de noviembre para los eventos académicos de diciembre equipo Observatorio Del Deporte con el acompañamiento de la directora Viviana Londoño.
• Realización y seguimiento conversatorio Implicación De Los Padres En El Deporte Formativo Aspectos Fundamentales Desde La Mirada De La Psicología Del Deporte, el día 09 de Noviembre con una participación de 107 personas y la ponencias del Dr ( Psicólogo) Cristian Gómez .
• Realización y seguimiento IV Coloquio MIGUEL “MASCARA” MATURANA – “Memoria Histórica De Una Gran Gesta Deportiva” el día 18 de Noviembre con una participación de 45 personas y la ponencia del Ex Boxeador Miguel Maturana - William Marrugo.
• Reunión de revisión de tareas asignadas y del minuto a minuto firma protocolaria semillero de investigación los días 23,24 y 25 de Noviembre 
• Realización y seguimiento capacitación virtual  " No más violencia contra la mujer" actividad que fue realizada el día 25 de Noviembre de la presente anualidad con una participación de 129 personas y la ponencia de la Lic. Idis Alfaro – Merlis Pajaro – Johana Estupiñan como moderadora 
• Realización y seguimiento Conversatorio  virtual Jóvenes Saludables: Empoderamiento para la transformación social, actividad que fue realizada el día 30 de Noviembre de la presente anualidad con una participación de 50 personas y la ponencia de Alex May.
Nota: Durante el mes de Noviembre se desarrollaron 5 actividades para un total de 420 asistentes de acuerdo a lo establecido en el cronograma de ejecución del Proyecto Divulgación y Apropiación Social del Conocimiento y el acompañamiento de la oficina de prensa y de comunicaciones.
                                                                                                                                                                                                                                                                                                                                      </t>
  </si>
  <si>
    <t xml:space="preserve">A corte de noviembre  se han otorgado un total de 4.508 permisos. De los cuales 72  han sido para el desarrollo de eventos deportivos. </t>
  </si>
  <si>
    <t xml:space="preserve">En los centros penitenciarios y carcelarios en la EPCC San Sebastián de Ternera y en la Cárcel Distrital de mujeres, hemos adelantado un porcentaje bajo de tamizajes, debido a la negativa de algunos, esto nos ha llevado adelantar acciones con la administración de los centros penitenciarios y carcelarios para lograr sensibilizar a las personas que faltan por tamizaje.Se realizaron 12  jornadas de sensibilización a organizaciones públicas y privadasEl Centro de Acondicionamiento Físico CAF – IDER se encuentra en plan de modernización y mantenimiento de máquinas y elementos, 254 fichas de tamizaje en las organizaciones públicas y privadas, 177 fichas de tamizaje en los centros de vida y/o grupos organizados de personas mayores, 1.698 Personas asesoradas en organizaciones públicas y privadas, 30 jornadas
recreo-deportivas en organizaciones públicas y privadas y personas participantes 138, 33 jornadas recreo-deportivas en centros penitenciarios y carcelarios, 46 Personas asesoradas en centros de vida y/o
grupos organizados de personas mayores.
</t>
  </si>
  <si>
    <t>Se tiene inscritos a fecha 30 de noviembre de 2021 un total de 3.500 usuarios en la Plataforma Hércules, en el mes de noviembre se impactaron en los eventos de concentración (22) un total de 896 usuarios y en los eventos de promoción (9), un total de 321 usuarios.</t>
  </si>
  <si>
    <t xml:space="preserve"> El Centro de Acondicionamiento Físico CAF – IDER se encuentra en plan de modernización y mantenimiento de máquinas y elementos.  A fecha de noviembre 30 de 2021, se impactan cuatro parques biosaludables del Distrito de Cartagena, en los barrios de Bruselas, Los Alpes, La Plazuela y Ciudad Jardín.</t>
  </si>
  <si>
    <t xml:space="preserve">.Se acreditaron miembros de Campamento Juveniles en las categorías de Semilla y Raíz.
Los ítems 5 y 6, que son los campamentos Distritales y Departamentales no se han realizado por lo siguiente:
En el marco del proceso de planeación y proyección del cumplimiento de las metas de los diferentes proyectos de inversión, se inició la estructuración de un proceso de contratación que tendría por objeto la Operación Logística de diferentes actos, actividades y eventos a cargo del área de Recreación.
Luego de definidas las características técnicas a solicitar al operador logístico, se inició el proceso de cotizaciones y estudio de mercado. Las cotizaciones obtenidas presentaron algunas dificultades en su
consecución y posteriormente en su contenido teniendo en cuenta la integralidad de actividades y servicios requeridos por el área.
Posteriormente se evidenció que el área de Deportes también requería un servicio de Operador Logístico frente a lo cual se sugirió la fusión de necesidades de Deportes y Recreación para contratar un único operador Logística.
Desde la oficina jurídica se sugirió realizar el proceso de contratación a través de la Bolsa Mercantíl, entidad que confirmo que este tipo de servicios podía contratarse en dicho escenario. Finalmente, al revisar los plazos del proceso de Selección Abreviada ante la Bolsa Mercantíl se determinó que no se ajustaban a las fechas en que debían realizarse los diferentes eventos, actos y actividades, por lo cual
se declinó esta opción.
</t>
  </si>
  <si>
    <t>1. Realizamos 4 capacitaciones en talleres y juegos para padres, madres y cuidadores con un total de 99 personas beneficiadas.
2. Realizamos 2 escuelas para padres de manera presencial, impactando a 39 personas.
3. En 7 talleres de actívate gestante se impactaron 61 mujeres adultas gestantes y lactantes.</t>
  </si>
  <si>
    <t xml:space="preserve">En el mes de noviembre de 2021 , se beneficiaron a  728 personas participantes en las Instituciones Educativas, grupos organizados de adolescentes y jóvenes, Hogares Comunitarios y/o CDI, 
, los talleres Recreativos programados para el mes de noviembre tuvieron que ser aplazados por motivos climáticos.personas participantes, 306  personas participantes en eventos con la alcaldía
distrital, 215 niños y niñas entre 8 y 14 años, 294 personas mayores de 60 años.
</t>
  </si>
  <si>
    <t>1. En el mes de noviembre apoyamos 7 versión de la carrera 5 y 10k de la Policía Nacional realizada en el Centro histórico, beneficiando a 180 personas 2. Por las fiestas Novembrinas queda aplazada ciclovía dominical para el 19 de diciembre de 2021 . Se realizaron 2  ciclopasesos  que beneficiaron a 145 personas, 1 jornada de desarrollo de las VAS que beneficiaron a 425 personas, 3 eventos recreativos en las playas que benefiiciaron a 197 personas.</t>
  </si>
  <si>
    <t xml:space="preserve"> Estadio de beisbol menor de Martinez Martelo se encuenta en una avance de ejecución 60%, y facturación del 30%.Los contratos para la reconstrucción de los escenarios de Olaya Sector Central y Villa Rubia cuentan con  aprobación de polizas del 11 de noviembre y con un 12% avance.  El proyecto del Campo de Softbol de Tierra Baja, se encuentra en revisión de las observaciones realizadas por el Ministerrio del Deporte para presentar el 6 de diciembre en mesa técnica .
. </t>
  </si>
  <si>
    <r>
      <t xml:space="preserve">A corte de noviembre se tienen los siguientes avances: 
1. Se han elaborado los siguientes manuales: 1. Manual de Manejo de Césped; 2. Plan de Mitigación de Riesgos en los Escenarios Deportivos –PEMRED–;3. Política De Control De Calidad Y De Servicios En Los Escenarios Deportivos y 4. Políticas, Lineamientos Y Acciones Base Para SST Escenarios Deportivos.
2. Se han revisado (111) Fichas Técnicas Diagnostico, superando la meta anual 2021 es de noventa y dos (92)  Para presentar los proyectos de PMR requirió tener actualizada las Fichas Técnicas de cada Unidad deportiva, con el objetico de validar al antes y el después ( Las reducciones de los niveles de riesgos - GTC 45) es decir, que se valida si hubo un incremento en la capacidad operativa de los escenarios deportivos. 
4. Se han realizado mantenimientos a 173 unidades deportivas( al menos 1 vez en la vigencia). en términos Mantenimientos Preventivos Recurrentes. 
5. Se han realizado en total  99 visitas (julio) para el cumplimiento de políticas de control de calidad en el servicio y funcionamiento y las políticas de salud ocupacional y reducción del riesgo «Riesgo Cero».            6.  Se realizó la capcitación para la conformación de brigadas de mergencia en los escenarios.
7. Instalación de placa conmemorativa a Nelson Blanco en el campo de softbol de Los Caracoles.
8. Insumos para respuesta de 10 PQRS                                                                                                                                                                                                                                            </t>
    </r>
    <r>
      <rPr>
        <b/>
        <sz val="18"/>
        <color theme="1"/>
        <rFont val="Arial Narrow"/>
        <family val="2"/>
      </rPr>
      <t>Comisiones para visita técnica de noviembre.</t>
    </r>
    <r>
      <rPr>
        <sz val="18"/>
        <color theme="1"/>
        <rFont val="Arial Narrow"/>
        <family val="2"/>
      </rPr>
      <t xml:space="preserve">
 Caño de Oro
 Mirador del nuevo Bosque
 Gaviotas cancha multiple 4ta etapa
 Visitas referente a solicitudes al contrato de «los 43».                                                                                                                                                                                                                               El proyecto de las 41 adecuaciones y mejoramientos de unidades deportivas: , cuenta con la aporbación de las pólizas del  11 de noviembre y asi como tiene un avance aporximado de un 12%. La piscina semiolimpica es desocupada, para iniciar por parte del contratista la reparación de baldosas (en garantía), así mismo por parte del equipo IDER se aprovechará para lavarla y realizarle mantenimiento, se requiriran 730m3  de agua para volver a llenarlo.
                                                                                                                                                                                                                                                                </t>
    </r>
  </si>
  <si>
    <t xml:space="preserve">Nota : En la apropiación definitiva no cuenta con los 1.000 millones del saneamiento fiscal y financiero. </t>
  </si>
  <si>
    <r>
      <t xml:space="preserve">Producto: DOCUMENTO DIAGNÒSTICO Y DE VALORACIÓN
Procesos de contratación para la elaboración de diagnóstico fue suspendido por no alcanzar cumplir con los términos requeridos.
Producto: protocolo de identificación del patrimonio
El proceso de contratación para la elaboración del protocolo e identificación del patrimonio fue suspendido por no cumplimiento de los términos requeridos.
Producto: 4 fichas de caracterización 
El proceso de contratación para la identificación de la caracterización de las fichas fue suspendido por no cumplimiento de los términos requeridos.
Producto: 3 actas de preservación y conservación del Acervo deportivo de la ciudad y el departamento
El procesos de contratación para la elaboración de las actas de preservación y conservación del Acervo deportivo de la ciudad y el departamento, fue suspendido por no cumplimiento de los términos requeridos.
 Producto: 2 Piezas de Memoria
El procesos de contratación para la identificación de las 2 piezas  fue suspendido por no cumplimiento de los términos requeridos.
Producto: 5 coloquios sobre Acervo deportivo
Se realizó  el IV coloquio “Memoria Histórica Del Deporte Cartagenero y Bolivarense” en conmemoración de los 40 años del título de copa mundo obtenido por el Macara Maturana. Se fijó como fecha de realización el 18 de Noviembre de la presente anualidad.Nota: Se programó el Coloquio Internacional para el día 28 de Diciembre de la presente anualidad.  También se realizó la crónica de Manual Díaz Gónzalez, el forjador de atletas bolivarenses : El porfe Mañe  realizada por Giselly Andrea Landazuri Parra , Línea : Deporte para la Paz .
</t>
    </r>
    <r>
      <rPr>
        <sz val="18"/>
        <rFont val="Arial Narrow"/>
        <family val="2"/>
      </rPr>
      <t/>
    </r>
  </si>
  <si>
    <t>Producto: Red de conocimiento científico a 30 de noviembre se tiene un avance gradual del 15% y en general se tiene un avance del 75% en total. Producto: Alianzas a 30 de noviembre se tiene un avance gradual del 56% y en general se tiene un avance del 70% en total.Producto: Semillero de investigación a 30 de noviembre se tiene un avance gradual del 10% y en general se tiene un avance del 100% en total.Producto: Artículo científico a 30 de noviembre se tiene un avance gradual del 5% y en general se tiene un avance del 95% en total.Producto: Encuentro científico a 30 de noviembre se tiene un avance gradual del 20% y en general se tiene un avance del 75% en total. Producto: crónicas a 30 de octubre se tiene un avance de 2 crónicas y en total se tiene un avance de 10.Producto: banco de datos a 30 de noviembre se tiene un avance gradual del 30% y en general se tiene un avance del 70% en total.
Se firmo en el mes de noviembre el convenio con la Universidad del Sinú.</t>
  </si>
  <si>
    <t xml:space="preserve">A corte de noviembre se ha beneficiado un total de 37.486 personas de las cuales: Deportistas 27.836, Entrenadores 2.760 ,  2.922 Administradores y 3.968 Aficionados . Ha esta  meta se le adiciona las personas asistentes a los eventos deportivos en los escenarios deportivos mayores y menores  teniendo en cuenta  los aforos permitidos  en los escenarios deportivos (200.000) , en el marco del Plan de Reactivación Económica  del Gobierno Nacional . </t>
  </si>
  <si>
    <t xml:space="preserve">AVANCE DE LA META DE BIENESTAR-DICIEMBRE  2021 </t>
  </si>
  <si>
    <t xml:space="preserve">OBSERVACIONES DICIEMBRE    - https://1drv.ms/u/s!An_-YqStCA-JiGi2-vDjBXAmrYuU?e=boOoRO                                                                                                                                                                              </t>
  </si>
  <si>
    <t xml:space="preserve">APROPIACION DEFINITIVA A CORTE DICIEMBRE 2021 </t>
  </si>
  <si>
    <t xml:space="preserve">REPORTE EJECUCIÓN PRESUPUESTAL CORTE DICIEMBRE  2021 </t>
  </si>
  <si>
    <t xml:space="preserve">% EJECUCIÓN PRESUPUESTAL CORTE DICIEMBRE  2021 </t>
  </si>
  <si>
    <t>REPORTE DE ACTIVIDADES DE   ENERO -DICIEMBRE  2021</t>
  </si>
  <si>
    <t>% de avance en la meta de actividades a  diciembre  de 2021</t>
  </si>
  <si>
    <t>REPORTE META PRODUCTO  ACUMULADO 31 DE  DICIEMBRE  DE 2021</t>
  </si>
  <si>
    <t>% de avance del programa a  31 de Dciembre de   2021</t>
  </si>
  <si>
    <t xml:space="preserve">% AVANCE TÉCNICO DE LOS PROGRAMAS A DICIEMBRE  DE 2021  </t>
  </si>
  <si>
    <t>Avance Meta proyecto a diciembre  de 2021 (actividades)</t>
  </si>
  <si>
    <t xml:space="preserve">%de avance Enero - 31 de Diciembre Meta año 2021 </t>
  </si>
  <si>
    <t xml:space="preserve"> </t>
  </si>
  <si>
    <t xml:space="preserve">Para este mes de diciembre de 2021 , se realizaron las siguientes actividades :                                                                                                                                                                                                        Se inicia la fase regional en los diferentes escenarios deportivos de la ciudad de Montería
 Para este periodo participan todos los colegios ganadores de la etapa departamental inscritos en los Intercolegiados 2021.
 Se envió a la prensa toda la información de las competencias realizadas.
 Se enviaron correos a los docentes de las distintas instituciones educativas, con la información necesaria para las competencias de esta etapa regional de los Intercolegiados 2021.
Se realizo acompañamiento a los deportistas para la fase regional realizada en la ciudad de montería. Donde se obtuvieron los primeros puestos: 
Institución Educativo Nuestra señara del Carmen - Futbol Femenino – Categoría Prejuvenil 
Institución Educativa José Manuel Rodríguez Torices – Baloncesto – Categoría Juvenil 
Institución Educativa Nuestra Señora del Carmen - Futbol Femenino – Categoría Juvenil                                                                                                                                                                               Se envió toda la información pertinente con respecto a las siguientes fases de los Juegos Intercolegiados 2021, tanto al área de prensa como a las instituciones educativas, padres de familia y profesores de educación física de los deportistas clasificados a las siguientes fases. 
</t>
  </si>
  <si>
    <t>Con la convocatoria pública de estimulos a Deportitas de Altos Logros(PADAL) y Futuras Idolos del deporte , se benefiaron 263 deportitas de los cuales renunciaron 2 , para un total de 261 deportitas beneficiados. Se entregó el 100% de los estimulos a los deportistas.</t>
  </si>
  <si>
    <t xml:space="preserve">FORMATO  PLAN DE ACCION IDER AÑO 2021 - ENERO A DICIEMBRE  DE 2021 </t>
  </si>
  <si>
    <t xml:space="preserve">Los uniformes e implementos deportivos de la convocatoria 2020-2021 no se han podido entregar en su totalidad ya que el proveedor encargado no ha enviado todo lo que se le solicito. Por lo anterior podemos  decir que los uniformes e implementos deportivos de la convocatoria 2020 se pudo  entregar   a 4 de 12 ligas  beneficiadas , lo que corresponde a un 33% del  total de los beneficiarios  con respecto al año 2021  de 20 clubes de 39   beneficiarios  han recibido un 51% de apoyo del total de los beneficiarios. </t>
  </si>
  <si>
    <t>Durante el mes de diciembre se beneficiaron a través de las diferentes estrategias a 1.624 personas , las estrategias reaklizadas fueron 13 ciclovías  que beneficiaron a 955 peronas , se llevaron a acabo eventos de playas que beneficiaron a 165 personas, en eventos participaron 54 personas   y se realizo un (1) evento de ciudad que beneficio a 450 personas .                                                                                                                                                                                                                                                     Algunos de los indicativos no se pudieron alcanzar por las restricciones provocadas por la Pandemia del COVID-19, en las V.A.S. y Recréate en tu Barrio, sin embargo, se sobrepaso la meta de usuarios en estas estrategias a alcanzar. Excepto en Eventos Recreativos en las Playas y en los Ciclo-paseos.</t>
  </si>
  <si>
    <t>En el mes de diciembre se celebraron  (6) módulos desarrollados sobre habilidades para la vida, se realizaron doce (12)  actividades de Escuela para Padres, , se realizaron 184  sesiones de Servicio Social , y se realizaron 26 proyectos de ciudad . No se alcanzaron los Indicadores No.5 Campamentos Distrital y el No.6 Campamentos Departamentales porque no se logro subir a tiempo el proceso donde se escogería el operador que suministraría las necesidades derivadas para desarrollar los dos (02) campamentos.</t>
  </si>
  <si>
    <t>Se cumplió con las actividades y/o metas propuestas para el año 2021 .</t>
  </si>
  <si>
    <t xml:space="preserve"> El número de solicitudes bajo en este período por la temporada decembrina, pero desarrollamos diferentes estrategias como lo son:Cinco (5) jornadas de
sensibilización a organizaciones públicas y privadas, ( 82) fichas de tamizaje en las organizaciones públicas y privadas, (2) jornadas de sensibilización a
centros de vida y/o grupos organizados de personas mayores, (64) fichas de tamizaje en los centros de vida y/o grupos organizados de personas mayores, (175) Personas  asesoradas en organizaciones públicas y privadas, j(5) ornadas recreo-deportivas en organizaciones públicas y privadas, (78) personas
participantes , (33)   jornadas recreo-deportivas en centros penitenciarios y carcelarios, emtre otras estrategias del proyecto.</t>
  </si>
  <si>
    <t>En el mes de diciembre de 2021 , se beneficiaron a  267 personas participantes en las Instituciones Educativas, grupos organizados de adolescentes y jóvenes, Hogares Comunitarios y/o CDI, , se llevaron (5) ltalleres Recreativos , 103  personas participantes en eventos con la alcaldía distrital, 1049 niños y niñas entre 8 y 14 años, 465 personas mayores de 60 años.</t>
  </si>
  <si>
    <t xml:space="preserve">En el mes de diciembre se llevarón a cabo diferentes estrategias del proyecto  como lo son:                                                                                                                                                        1.  En la Plataforma Hércules se tiene inscritos a fecha 31 de diciembre del año en curso, un total de 3.500 usuarios
2. En el mes de diciembre se impactaron en los eventos de concentración (17) un total de 1.063
usuarios y en los eventos de promoción (13), un total de 484 usuarios.
3. La disminución de usuarios en nuestros puntos de actividad física obedece a la finalización del Convenio MinDeporte-IDER, en los que dejamos de impactar a los 24 de los 30 puntos que hacían parte de alianza interinstitucional.                                                                                                                                                                               4. En los dos (2) eventos de ciudad que se realizaron en este período, Vive la Danza, Vive el Movimiento de la Estrategia Joven Saludable, del total de asistentes (548), 313 personas eran acudientes y acompañantes de los 235 jóvenes que intervinieron en la jornada de clausura, un segundo evento de la caminata 2.5k por la inclusión el cual se realiza dentro de la estrategia Mi centro es Cartagena, con una convocatoria de 200 personas.
5. No se alcanzaron a cumplir con los indicadores de Eventos de Promoción y Eventos de Concentración debido a las restricciones provocadas por la Pandemia del COVID-19.
</t>
  </si>
  <si>
    <t>Tuvimos  varias acciones durante el mes de diciembre como lo son:                                                                                                                                                                                                          1. El Centro de Acondicionamiento Físico CAF – IDER se encuentra en plan de modernización y mantenimiento de sus máquinas y elementos.
2. A fecha de diciembre 31 de 2021, se impactan cuatro parques biosaludables del Distrito de Cartagena de Indias, en las comunidades de los barrios de Bruselas, Ciudad Jardín, La Plazuela y Los Alpes.</t>
  </si>
  <si>
    <t xml:space="preserve">Producto: Red de conocimiento científico a 30 de diciembre se tiene un avance gradual del 0% y en general se tiene un avance del 75% en total. Producto: Alianzas a 30 de diciembre se tiene un avance gradual del 15% y en general se tiene un avance del 85% en total.. Producto: Semillero de investigación a 30 de diciembre se tiene un avance gradual del 100% y en general se tiene un avance del 100% en total.Producto: Artículo científico a 30 de diciembre se tiene un avance gradual del 5% y en general se tiene un avance del 100% en total.Producto: Encuentro científico a 30 de diciembre se tiene un avance gradual del 25% y en general se tiene un avance del 100% en total.Producto: crónicas a 30 de diciembre se tiene un avance de 1 crónicas y en total se tiene un avance de 13 culminado el proceso de elaboración y publicación de crónicas. Producto: banco de datos a 30 de diciembre se tiene un avance gradual del 0% y en general se tiene un avance del 70% en total. Por lo anterior podemos decir que se realizo un artículo ciéntifico y/o depotivo  en la cartillla Sinergias titulado "Madrúgale a la Salud (MS) y Noches Saludables (NS): Una fundamentación teórica.y a través del Acta de Constitución  del Semillero de Investigación  del día 29  de nvoeimbre  de 2021 suscrita con la Universidad de San Buenventura .
</t>
  </si>
  <si>
    <t xml:space="preserve">Producto: DOCUMENTO DIAGNÒSTICO Y DE VALORACIÓN
Procesos de contratación para la elaboración de diagnóstico fue suspendido por no alcanzar cumplir con los términos requeridos.
Producto: protocolo de identificación del patrimonio
El proceso de contratación para la elaboración del protocolo e identificación del patrimonio fue suspendido por no cumplimiento de los términos requeridos.
Producto: 4 fichas de caracterización 
El proceso de contratación para la identificación de la caracterización de las fichas fue suspendido por no cumplimiento de los términos requeridos.
Producto: 3 actas de preservación y conservación del Acervo deportivo de la ciudad y el departamento
El procesos de contratación para la elaboración de las actas de preservación y conservación del Acervo deportivo de la ciudad y el departamento, fue suspendido por no cumplimiento de los términos requeridos.
Producto: 2 Piezas de Memoria 
El procesos de contratación para la identificación de las 2 piezas  fue suspendido por no cumplimiento de los términos requeridos.
Producto: 5 coloquios sobre Acervo deportivo
Se realizó  el IV coloquio “Memoria Histórica Del Deporte Cartagenero y Bolivarense” en conmemoración de los 40 años del título de copa mundo obtenido por el Máscara Maturana. Se fijó como fecha de realización el 18 de Noviembre de la presente anualidad.
Se Elaboró una crónica especial para este evento en  honor a la gesta deportiva Miguel Mascara Maturana que esta publicada en la página web.
</t>
  </si>
  <si>
    <t xml:space="preserve">En el mes de  Diciembre se trabajó de la mano en la divulgación del programa EIFD para el año 2022 con el equipo de docentes y Psicosocial en cada uno de los puntos, se realizó la clausura del año 2021 en el estadio Jaime Morón con un impacto positivo con más de 8000 mil asistentes entre NNA y padres de familias, con actividades deportivas y culturales de nuestros deportistas. La participación de las diferentes ofertas institucionales solicitadas por la alcaldía en aras de seguir visualizando el programa ante la comunidad.
Podemos cerrar un año muy bueno en la escuela a pesar de las dificultades, el equipo fue resiliente y pudo sacar adelante cada una las metas propuestas en el proyecto, teniendo un crecimiento porcentual de 49 % y con un total de 6.587 NNA inscritos.  Visitas y Seguimiento del equipo pedagógico a los diferentes puntos de las tres localidades para el cumplimiento y recepción de las diferentes inquietudes.                                    Se realizaon difierentes  actividades como: 
 Participación de énfasis y perfeccionamiento de pesas en el Open ciudad amurallada 
 Participación con muestras deportistas en Mi centro es Cartagena
 Clausura de EIFD. 
 Reuniones del equipo EIFD
 Apoyo a evento con el equipo de enfermera al torneo de squash y la participación del énfasis 
 Talleres psicosociales dirigidos a los padres de familia y niños en los diferentes núcleos, én-fasis y perfeccionamiento de la EIFD- IDER.
 Atención a casos específicos, a través de visitas domiciliarias, atención en oficina, visitas psicosociales. 
 Actividad de promoción de crecimiento y desarrollo, hábitos y estilos de vida saludable y en los diferentes núcleos y énfasis de la EIFD.
 Apoyo y participación en ofertas institucionales, con el objetivo de dar a conocer el programa y masificar los puntos. 
 Asistencia y participación en mesas de trabajo y comités interinstitucionales. 
 Apoyo y participación en clausura de actividades recreo-deportivas dirigido a jóvenes pertenecientes al SRPA.  
</t>
  </si>
  <si>
    <t>Este sistema de juegos fue llamado los "Juegos del Retorno",  en los cuales se realizaron: Los Juegos Comunales, Juegos Afros, Juegos Indígenas, Juegos Corregimentales,Juegos de Discapacidad y Juegos Carcelarios y Penitenciarios, para un total de 6 eventos y/o juegos deportivos.</t>
  </si>
  <si>
    <t xml:space="preserve"> Para el mes de diciembre se apoyo por parte del  IDER cinco (5) eventos , los cuales fueron los siguientes :                                                                                                                                                                                                                                                                                                                                                                                                                                            • En el complejo acuático Jaime González se realizó la copa regional carnavalera de natación donde participaron 120 deportistas de 12 clubes de barranquilla, santa marta, Valledupar y Cartagena.
• Se realizo el torneo de BEISBOL LIGA ELITE DAYTON CLASSIC donde participaron 80 deportistas entre los 15-20 de edad. 
• En el coliseo de combate fue escenario de la novena parada del torneo ajedrez al parque de RCN donde hicieron participes 100 niños, niñas y jóvenes.
• Se realizo el IROMAN 70.3 donde participaron más 200 de deportistas nacionales e internacionales.
• Se llevo a cabo el primer campeonato nacional de lucha categoría mayores donde participaron 13 ligas correspondientes a 350 deportistas de diferentes ciudades como Cartagena, Antioquia, Bogotá, Santander, Tolima, Nariño, valle, Risaralda.
</t>
  </si>
  <si>
    <t xml:space="preserve">Estadio de beisbol menor de Martinez Martelo se encuentra en una avance de ejecución 97%, y facturación del 80%. Las obras de  reconstrucción de los escenarios de Olaya Sector Central tuvo un avance de ejecución 60%  y Villa Rubia tuvo un avance de ejecución del 55% y un vance de pago del 20% . El 6 de diciembre de 2021, en la ciudad de Bogotá estuvieron Ismael Sanchez , Katia García y Elisa Bárcenas,  en reunión con el Ministerio del Deporte para revisión del Proyecto de Tierra Baja. Este proyecto  se presentará en fase III ante la OCAD PAZ en la primera reunión que se realice en el mes de enero de 2022.
. </t>
  </si>
  <si>
    <t xml:space="preserve">A corte de diciembre se tienen los siguientes avances: 
1. Se han elaborado los siguientes manuales: 1. Manual de Manejo de Césped; 2. Plan de Mitigación de Riesgos en los Escenarios Deportivos –PEMRED–;3. Política De Control De Calidad Y De Servicios En Los Escenarios Deportivos y 4. Políticas, Lineamientos Y Acciones Base Para SST Escenarios Deportivos.
2. Se han revisado (111) Fichas Técnicas Diagnostico, superando la meta anual 2021 es de noventa y dos (92)  Para presentar los proyectos de PMR requirió tener actualizada las Fichas Técnicas de cada Unidad deportiva, con el objetico de validar al antes y el después ( Las reducciones de los niveles de riesgos - GTC 45) es decir, que se valida si hubo un incremento en la capacidad operativa de los escenarios deportivos. 
4. Se han realizado mantenimientos a 173 unidades deportivas( al menos 1 vez en la vigencia). en términos Mantenimientos Preventivos Recurrentes. 
5. Se han realizado en total  99 visitas (julio) para el cumplimiento de políticas de control de calidad en el servicio y funcionamiento y las políticas de salud ocupacional y reducción del riesgo «Riesgo Cero».                                                                                                           6.  Para el mes de diciembre se respondieron 4 peticiones, 1 comisión (No se realizó la visita), 2 proposiciones.                                       7. Las obras de iluminación del Campo de Softbol de la Boquilla tuvo en el mes de diciembre un avance técnico del 97% y un avance de pago del 80%.                                                                                                                                                                                                8.  Se adjudicó procesos para la adquisición de:
• Insumos agroquímicos para mantenimiento de césped.
• Insumos químicos para el mantenimiento de piscinas.
• Elementos de Ferretería
• Equipos para jardinería y de corte de césped. Adicionalmente se contrató el mantenimiento de equipos existentes.
                                                                                                                                                                                                                                                                                                                                                                                                                                                                                                                                                                                                                                  </t>
  </si>
  <si>
    <t xml:space="preserve">A corte de diciembre,  se han otorgado un total de 4.647 permisos. De los cuales 93  han sido para el desarrollo de eventos deportivos. </t>
  </si>
  <si>
    <t>A corte de diciembre se ha beneficiado un total de 43.672 personas de las cuales: Deportistas 33.038, Entrenadores 2.993 ,  3.246 Administradores y 4.395 Aficionados . Ha esta  meta se le adiciona las personas asistentes a los eventos deportivos en los escenarios deportivos mayores   teniendo en cuenta  los aforos permitidos  en los escenarios deportivos (200.000) , en el marco del Plan de Reactivación Económica  del Gobierno Nacional, para un total de 243.673 personas que usan y disfrutan los escenarios deportivos .</t>
  </si>
  <si>
    <t xml:space="preserve">Durante el mes de diciembre se desarrollaron 8 actividades para un total de 1.097 asistentes de acuerdo a lo establecido en el cronograma de ejecución del Proyecto Divulgación y Apropiación Social del Conocimiento y el acompañamiento de la oficina de prensa y de comunicaciones. las actividades desarrolladas para la apropiación social del conocimiento fueron las siguientes:                                                                                                                                                                                                                                                                                             ● Realización y seguimiento capacitación El Proceso Administrativo En La Gestión Del Organismo Deportivo, el día Viernes 3 de Diciembre con una asistencia 82 personas y como ponentes nos acompañó el Lic Jorge Luis Franco Gómez.
● Realización y seguimiento Seminario Nacional. Una Visión  prospectiva del sector deporte en Cartagena al 2023, el día Jueves 16 de Diciembre con una participación de 121 personas y la ponencias de los Licenciados Diana Milena Díaz Vidal, Julián Mauricio Soto Móscate y la Moderación de Kiely Catherine Puerta Mateus. 
● Realización y seguimiento Seminario Internacional: Deporte Formativo en la Transformación Social el día Viernes 17 de Diciembre con una participación de 155 personas y la ponencia Los Licenciados Ricardo Mendoza Cañuelas, Enrique Jorge Arriaza Ardiles - Mesa Local IDER, La Psicóloga Tania Sarabia y la Moderación de Kiely Catherine Puerta Mateus..
● Realización y seguimiento Encuentro Científico Internacional “Desafíos Y Retos Del Deporte, Recreación, Y Actividad Física, En Tiempos De Pandemia Y Pos pandemia”, actividad que fue realizada el día Martes 21 y 22 Diciembre de la presente anualidad con una participación de 241 personas el día 21 de Dic y 189  personas el día 22 de Dic para un total de 430 personas y  la ponencia de los Licenciados Idis Alfaro Ponce, Luis Andrés Téllez Tinjaca, Elkin Alberto Arias Arias como ponentes Nacionales y como Internacionales Silvia Maranzano, Shared Alejandro Maldonado y de la mesa local IDER La Fisioterapeuta Karen Bonilla, Bajo la Moderación del Lic Fernando Alberto Bohórquez.
● Realización y seguimiento I Coloquio Internacional Experiencias Compartidas, actividad que fue realizada el día Martes 28 Diciembre de la presente anualidad con una participación de personas y la ponencia de los Licenciados Heinsson Barjas Ramos, Luis Ángel Cardozo Pacheco, Felipe Moniz Carvacho  con la asistencia de 190 personas.                                                                                                                                                                                                                                                                                                                                       ●  Se realizo un evento de apropiación del conocimiento sobre "Semillero de Investigación", en el cual participaron 50 personas.                                                                                                                                                                                                                                       ● Con el convenio del Sena  en la carrera tecnóloga de "Actividad Física".beneficiamos a  69 aprendices. </t>
  </si>
  <si>
    <t xml:space="preserve">Cartagena disfrutó en esta oportunidad sus tradicionales juegos Afros, Indígenas, de Discapacidad, Comunales, Corregimentales y Carcelarios bajo la común denominación de los Juegos del Retorno, con lo que quisimos dimensionar la importancia que representa para los grupos poblacionales y para la comunidad en general este proceso de reactivación en el que seguimos avanzando escalonadamente en la ciudad y en el país.
Reactivación que impulsamos desde el enfoque deportivo y recreativo, pero que genera impactos positivos a nivel económico y social en las tres localidades de Cartagena y en sus corregimientos. Los registros oficiales del programa misional de Deporte Social Comunitario del IDER  nos indican que fueron 6.043 deportistas los que participaron en las competencias y 57.000 los aficionados(Población Indirecta)  que disfrutaron de estos seis (6) juegos, para un impacto global en más de 63.043 mil personas. El cumplimiento de los protocolos de bioseguridad fue determinante para que la realización de estos juegos no incidiera en aumentos de contagios del virus, lo que nos invita a todos a mantener esa protección en las próximas actividades, teniendo presente que la amenaza de la pandemia aún no desaparece.
Los impactos, segmentados por  cada uno de los juegos, nos indican que todos los sectores convocados participaron de manera decidida y entusiasta: Los beneficiados de la la población Afro y Palenquera del Distrito fueron alrededor de 816 jóvenes y adultos. 
Los Juegos Comunales, promovieron la integración de localidades, comunas,  barrios, a través de actividades deportivas y recreativas, con la participación de 1.545 personas, en tanto que los juegos corregimentales integraron a 1.330 de sus habitantes.
En estas justas también participaron 504 personas con discapacidad física, auditiva, visual, intelectual y parálisis cerebral, ratificando el sentido de integración social del deporte. Nuestras comunidades indígenas, representadas por cinco (5)  cabildos  se hicieron presentes con 500 deportistas, en las ramas masculina y femenina, e impactaron aproximadamente a 1.590 personas.
También Las personas recluidas en diferentes centros penitenciarios del distrito, hicieron parte de las actividades recreo-deportivas en su proceso de rehabilitación y resocialización, fomentando el desarrollo de valores, con 1.348 reclusos y reclusas.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</si>
</sst>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_-;\-* #,##0_-;_-* &quot;-&quot;_-;_-@_-"/>
    <numFmt numFmtId="165" formatCode="_-&quot;$&quot;\ * #,##0.00_-;\-&quot;$&quot;\ * #,##0.00_-;_-&quot;$&quot;\ * &quot;-&quot;??_-;_-@_-"/>
    <numFmt numFmtId="166" formatCode="_-* #,##0.00_-;\-* #,##0.00_-;_-* &quot;-&quot;??_-;_-@_-"/>
    <numFmt numFmtId="167" formatCode="_-* #,##0_-;\-* #,##0_-;_-* &quot;-&quot;??_-;_-@_-"/>
    <numFmt numFmtId="168" formatCode="_-* #,##0.00_-;\-* #,##0.00_-;_-* &quot;-&quot;_-;_-@_-"/>
    <numFmt numFmtId="169" formatCode="_-* #,##0.000_-;\-* #,##0.000_-;_-* &quot;-&quot;??_-;_-@_-"/>
  </numFmts>
  <fonts count="22" x14ac:knownFonts="1">
    <font>
      <sz val="11"/>
      <color theme="1"/>
      <name val="Calibri"/>
      <family val="2"/>
      <scheme val="minor"/>
    </font>
    <font>
      <sz val="11"/>
      <color theme="1"/>
      <name val="Calibri"/>
      <family val="2"/>
      <scheme val="minor"/>
    </font>
    <font>
      <sz val="11"/>
      <color theme="1"/>
      <name val="Arial"/>
      <family val="2"/>
    </font>
    <font>
      <b/>
      <sz val="18"/>
      <color theme="1"/>
      <name val="Arial Narrow"/>
      <family val="2"/>
    </font>
    <font>
      <sz val="10"/>
      <color indexed="8"/>
      <name val="MS Sans Serif"/>
      <charset val="1"/>
    </font>
    <font>
      <sz val="18"/>
      <color theme="1"/>
      <name val="Arial Narrow"/>
      <family val="2"/>
    </font>
    <font>
      <sz val="18"/>
      <color indexed="8"/>
      <name val="Arial Narrow"/>
      <family val="2"/>
    </font>
    <font>
      <b/>
      <sz val="18"/>
      <color indexed="8"/>
      <name val="Arial Narrow"/>
      <family val="2"/>
    </font>
    <font>
      <b/>
      <sz val="16"/>
      <color theme="1"/>
      <name val="Calibri"/>
      <family val="2"/>
      <scheme val="minor"/>
    </font>
    <font>
      <b/>
      <sz val="20"/>
      <color theme="1"/>
      <name val="Calibri"/>
      <family val="2"/>
      <scheme val="minor"/>
    </font>
    <font>
      <sz val="16"/>
      <color theme="1"/>
      <name val="Arial Narrow"/>
      <family val="2"/>
    </font>
    <font>
      <sz val="16"/>
      <color indexed="8"/>
      <name val="Arial Narrow"/>
      <family val="2"/>
    </font>
    <font>
      <sz val="18"/>
      <name val="Arial Narrow"/>
      <family val="2"/>
    </font>
    <font>
      <sz val="12"/>
      <color theme="1"/>
      <name val="Arial Narrow"/>
      <family val="2"/>
    </font>
    <font>
      <sz val="22"/>
      <color theme="1"/>
      <name val="Arial Narrow"/>
      <family val="2"/>
    </font>
    <font>
      <sz val="72"/>
      <color theme="1"/>
      <name val="Arial Narrow"/>
      <family val="2"/>
    </font>
    <font>
      <sz val="18"/>
      <color rgb="FFFF0000"/>
      <name val="Arial Narrow"/>
      <family val="2"/>
    </font>
    <font>
      <sz val="22"/>
      <name val="Arial Narrow"/>
      <family val="2"/>
    </font>
    <font>
      <b/>
      <sz val="24"/>
      <name val="Arial Narrow"/>
      <family val="2"/>
    </font>
    <font>
      <sz val="14"/>
      <color rgb="FF000000"/>
      <name val="Times New Roman"/>
      <family val="1"/>
    </font>
    <font>
      <sz val="18"/>
      <color rgb="FF000000"/>
      <name val="Arial Narrow"/>
      <family val="2"/>
    </font>
    <font>
      <b/>
      <sz val="16"/>
      <color theme="1"/>
      <name val="Arial Narrow"/>
      <family val="2"/>
    </font>
  </fonts>
  <fills count="2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rgb="FF66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s>
  <cellStyleXfs count="8">
    <xf numFmtId="0" fontId="0" fillId="0" borderId="0"/>
    <xf numFmtId="166" fontId="1" fillId="0" borderId="0" applyFont="0" applyFill="0" applyBorder="0" applyAlignment="0" applyProtection="0"/>
    <xf numFmtId="0" fontId="2" fillId="0" borderId="0"/>
    <xf numFmtId="166" fontId="1" fillId="0" borderId="0" applyFont="0" applyFill="0" applyBorder="0" applyAlignment="0" applyProtection="0"/>
    <xf numFmtId="0" fontId="4" fillId="0" borderId="0"/>
    <xf numFmtId="165" fontId="4"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822">
    <xf numFmtId="0" fontId="0" fillId="0" borderId="0" xfId="0"/>
    <xf numFmtId="0" fontId="5" fillId="0" borderId="0" xfId="0" applyFont="1"/>
    <xf numFmtId="0" fontId="5" fillId="0" borderId="0" xfId="0" applyFont="1" applyFill="1" applyAlignment="1">
      <alignment wrapText="1"/>
    </xf>
    <xf numFmtId="0" fontId="5" fillId="0" borderId="0" xfId="0" applyFont="1" applyFill="1"/>
    <xf numFmtId="167" fontId="5" fillId="0" borderId="0" xfId="1" applyNumberFormat="1" applyFont="1" applyFill="1"/>
    <xf numFmtId="167" fontId="5" fillId="0" borderId="0" xfId="1" applyNumberFormat="1" applyFont="1"/>
    <xf numFmtId="0" fontId="5" fillId="0" borderId="0" xfId="0" applyFont="1" applyFill="1" applyAlignment="1">
      <alignment horizontal="left"/>
    </xf>
    <xf numFmtId="0" fontId="5" fillId="0" borderId="0" xfId="0" applyFont="1" applyAlignment="1">
      <alignment horizontal="left"/>
    </xf>
    <xf numFmtId="3" fontId="5" fillId="5" borderId="1" xfId="0" applyNumberFormat="1" applyFont="1" applyFill="1" applyBorder="1" applyAlignment="1">
      <alignment horizontal="right" vertical="center" wrapText="1"/>
    </xf>
    <xf numFmtId="0" fontId="5" fillId="5" borderId="1" xfId="0" applyFont="1" applyFill="1" applyBorder="1" applyAlignment="1">
      <alignment horizontal="left" vertical="center" wrapText="1"/>
    </xf>
    <xf numFmtId="167" fontId="5" fillId="5" borderId="1" xfId="1" applyNumberFormat="1" applyFont="1" applyFill="1" applyBorder="1" applyAlignment="1">
      <alignment horizontal="right" vertical="center" wrapText="1"/>
    </xf>
    <xf numFmtId="3" fontId="5" fillId="5" borderId="1" xfId="0" applyNumberFormat="1" applyFont="1" applyFill="1" applyBorder="1" applyAlignment="1">
      <alignment horizontal="left" vertical="center" wrapText="1"/>
    </xf>
    <xf numFmtId="3" fontId="5" fillId="5" borderId="1" xfId="0" applyNumberFormat="1" applyFont="1" applyFill="1" applyBorder="1" applyAlignment="1">
      <alignment vertical="center" wrapText="1"/>
    </xf>
    <xf numFmtId="3" fontId="5" fillId="5"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right" vertical="center" wrapText="1"/>
    </xf>
    <xf numFmtId="167" fontId="5" fillId="6" borderId="1" xfId="1" applyNumberFormat="1" applyFont="1" applyFill="1" applyBorder="1" applyAlignment="1">
      <alignment horizontal="right" vertical="center" wrapText="1"/>
    </xf>
    <xf numFmtId="0" fontId="5" fillId="7" borderId="1" xfId="0" applyFont="1" applyFill="1" applyBorder="1" applyAlignment="1">
      <alignment horizontal="left" vertical="center" wrapText="1"/>
    </xf>
    <xf numFmtId="3" fontId="5" fillId="7" borderId="1" xfId="0" applyNumberFormat="1" applyFont="1" applyFill="1" applyBorder="1" applyAlignment="1">
      <alignment horizontal="right" vertical="center" wrapText="1"/>
    </xf>
    <xf numFmtId="167" fontId="5" fillId="7" borderId="1" xfId="1" applyNumberFormat="1" applyFont="1" applyFill="1" applyBorder="1" applyAlignment="1">
      <alignment horizontal="right" vertical="center" wrapText="1"/>
    </xf>
    <xf numFmtId="167" fontId="5" fillId="7" borderId="1"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right" vertical="center" wrapText="1"/>
    </xf>
    <xf numFmtId="167" fontId="5" fillId="8" borderId="1" xfId="1" applyNumberFormat="1" applyFont="1" applyFill="1" applyBorder="1" applyAlignment="1">
      <alignment horizontal="right" vertical="center" wrapText="1"/>
    </xf>
    <xf numFmtId="0" fontId="5" fillId="8" borderId="1"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3" fontId="5" fillId="8" borderId="1" xfId="0" applyNumberFormat="1" applyFont="1" applyFill="1" applyBorder="1" applyAlignment="1">
      <alignment horizontal="right" vertical="center" wrapText="1"/>
    </xf>
    <xf numFmtId="3" fontId="5" fillId="9" borderId="1" xfId="0" applyNumberFormat="1" applyFont="1" applyFill="1" applyBorder="1" applyAlignment="1">
      <alignment horizontal="left" vertical="center" wrapText="1"/>
    </xf>
    <xf numFmtId="3" fontId="5" fillId="9" borderId="1" xfId="0" applyNumberFormat="1" applyFont="1" applyFill="1" applyBorder="1" applyAlignment="1">
      <alignment vertical="center" wrapText="1"/>
    </xf>
    <xf numFmtId="167" fontId="5" fillId="9" borderId="1" xfId="1" applyNumberFormat="1" applyFont="1" applyFill="1" applyBorder="1" applyAlignment="1">
      <alignment horizontal="right" vertical="center" wrapText="1"/>
    </xf>
    <xf numFmtId="0" fontId="5"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67" fontId="5" fillId="9" borderId="1" xfId="1" applyNumberFormat="1" applyFont="1" applyFill="1" applyBorder="1" applyAlignment="1">
      <alignment vertical="center" wrapText="1"/>
    </xf>
    <xf numFmtId="0" fontId="5" fillId="9" borderId="1" xfId="0" applyFont="1" applyFill="1" applyBorder="1" applyAlignment="1">
      <alignment horizontal="left" vertical="center" wrapText="1"/>
    </xf>
    <xf numFmtId="3" fontId="5" fillId="9" borderId="1" xfId="0" applyNumberFormat="1" applyFont="1" applyFill="1" applyBorder="1" applyAlignment="1">
      <alignment horizontal="right" vertical="center" wrapText="1"/>
    </xf>
    <xf numFmtId="0" fontId="5" fillId="10" borderId="1" xfId="0" applyFont="1" applyFill="1" applyBorder="1" applyAlignment="1">
      <alignment horizontal="left" vertical="center" wrapText="1"/>
    </xf>
    <xf numFmtId="3"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vertical="center" wrapText="1"/>
    </xf>
    <xf numFmtId="3" fontId="5" fillId="10" borderId="1" xfId="0" applyNumberFormat="1" applyFont="1" applyFill="1" applyBorder="1" applyAlignment="1">
      <alignment horizontal="left" vertical="center" wrapText="1"/>
    </xf>
    <xf numFmtId="167" fontId="5" fillId="10" borderId="1" xfId="1" applyNumberFormat="1" applyFont="1" applyFill="1" applyBorder="1" applyAlignment="1">
      <alignment horizontal="right" vertical="center" wrapText="1"/>
    </xf>
    <xf numFmtId="3" fontId="5"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5" fillId="8" borderId="1" xfId="0" applyFont="1" applyFill="1" applyBorder="1" applyAlignment="1">
      <alignment horizontal="right" vertical="center" wrapText="1"/>
    </xf>
    <xf numFmtId="0" fontId="5" fillId="8"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right" vertical="center" wrapText="1"/>
    </xf>
    <xf numFmtId="167" fontId="5" fillId="11" borderId="1" xfId="1" applyNumberFormat="1" applyFont="1" applyFill="1" applyBorder="1" applyAlignment="1">
      <alignment horizontal="right" vertical="center" wrapText="1"/>
    </xf>
    <xf numFmtId="3" fontId="5" fillId="11" borderId="1" xfId="0" applyNumberFormat="1" applyFont="1" applyFill="1" applyBorder="1" applyAlignment="1">
      <alignment horizontal="center" vertical="center" wrapText="1"/>
    </xf>
    <xf numFmtId="0" fontId="6" fillId="10" borderId="1" xfId="4"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167" fontId="5" fillId="8" borderId="1" xfId="1"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1" fontId="5" fillId="9" borderId="1" xfId="0" applyNumberFormat="1"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9" fontId="5" fillId="5" borderId="1" xfId="6" applyFont="1" applyFill="1" applyBorder="1" applyAlignment="1">
      <alignment horizontal="center" vertical="center" wrapText="1"/>
    </xf>
    <xf numFmtId="9" fontId="5" fillId="6" borderId="1" xfId="6" applyFont="1" applyFill="1" applyBorder="1" applyAlignment="1">
      <alignment horizontal="center" vertical="center" wrapText="1"/>
    </xf>
    <xf numFmtId="9" fontId="5" fillId="7" borderId="1" xfId="6" applyFont="1" applyFill="1" applyBorder="1" applyAlignment="1">
      <alignment horizontal="center" vertical="center" wrapText="1"/>
    </xf>
    <xf numFmtId="9" fontId="5" fillId="9" borderId="1" xfId="6" applyFont="1" applyFill="1" applyBorder="1" applyAlignment="1">
      <alignment horizontal="center" vertical="center" wrapText="1"/>
    </xf>
    <xf numFmtId="9" fontId="5" fillId="10" borderId="1" xfId="6" applyFont="1" applyFill="1" applyBorder="1" applyAlignment="1">
      <alignment horizontal="center" vertical="center" wrapText="1"/>
    </xf>
    <xf numFmtId="9" fontId="5" fillId="8" borderId="1" xfId="6" applyFont="1" applyFill="1" applyBorder="1" applyAlignment="1">
      <alignment horizontal="center" vertical="center" wrapText="1"/>
    </xf>
    <xf numFmtId="9" fontId="5" fillId="11" borderId="1" xfId="6" applyFont="1" applyFill="1" applyBorder="1" applyAlignment="1">
      <alignment horizontal="center" vertical="center" wrapText="1"/>
    </xf>
    <xf numFmtId="9" fontId="5" fillId="2" borderId="1" xfId="6" applyFont="1" applyFill="1" applyBorder="1" applyAlignment="1">
      <alignment horizontal="center" vertical="center" wrapText="1"/>
    </xf>
    <xf numFmtId="1" fontId="5" fillId="5" borderId="1" xfId="1" applyNumberFormat="1" applyFont="1" applyFill="1" applyBorder="1" applyAlignment="1">
      <alignment horizontal="right" vertical="center" wrapText="1"/>
    </xf>
    <xf numFmtId="1" fontId="5" fillId="6" borderId="1" xfId="1" applyNumberFormat="1" applyFont="1" applyFill="1" applyBorder="1" applyAlignment="1">
      <alignment horizontal="right" vertical="center" wrapText="1"/>
    </xf>
    <xf numFmtId="1" fontId="5" fillId="7" borderId="1" xfId="1" applyNumberFormat="1" applyFont="1" applyFill="1" applyBorder="1" applyAlignment="1">
      <alignment horizontal="right" vertical="center" wrapText="1"/>
    </xf>
    <xf numFmtId="1" fontId="5" fillId="9" borderId="1" xfId="1" applyNumberFormat="1" applyFont="1" applyFill="1" applyBorder="1" applyAlignment="1">
      <alignment horizontal="right" vertical="center" wrapText="1"/>
    </xf>
    <xf numFmtId="164" fontId="5" fillId="9" borderId="1" xfId="7" applyFont="1" applyFill="1" applyBorder="1" applyAlignment="1">
      <alignment horizontal="right" vertical="center" wrapText="1"/>
    </xf>
    <xf numFmtId="1" fontId="5" fillId="10" borderId="1" xfId="1" applyNumberFormat="1" applyFont="1" applyFill="1" applyBorder="1" applyAlignment="1">
      <alignment horizontal="right" vertical="center" wrapText="1"/>
    </xf>
    <xf numFmtId="1" fontId="5" fillId="8" borderId="1" xfId="1" applyNumberFormat="1" applyFont="1" applyFill="1" applyBorder="1" applyAlignment="1">
      <alignment horizontal="right" vertical="center" wrapText="1"/>
    </xf>
    <xf numFmtId="1" fontId="5" fillId="11" borderId="1" xfId="1" applyNumberFormat="1" applyFont="1" applyFill="1" applyBorder="1" applyAlignment="1">
      <alignment horizontal="right" vertical="center" wrapText="1"/>
    </xf>
    <xf numFmtId="1" fontId="5" fillId="2" borderId="1" xfId="1" applyNumberFormat="1" applyFont="1" applyFill="1" applyBorder="1" applyAlignment="1">
      <alignment horizontal="right" vertical="center" wrapText="1"/>
    </xf>
    <xf numFmtId="164" fontId="5" fillId="2" borderId="1" xfId="7" applyFont="1" applyFill="1" applyBorder="1" applyAlignment="1">
      <alignment horizontal="right" vertical="center" wrapText="1"/>
    </xf>
    <xf numFmtId="167" fontId="5" fillId="0" borderId="0" xfId="1" applyNumberFormat="1" applyFont="1" applyBorder="1"/>
    <xf numFmtId="3" fontId="8" fillId="0" borderId="0" xfId="0" applyNumberFormat="1" applyFont="1" applyBorder="1" applyAlignment="1">
      <alignment vertical="center"/>
    </xf>
    <xf numFmtId="9" fontId="8" fillId="0" borderId="0" xfId="6" applyFont="1" applyBorder="1" applyAlignment="1">
      <alignment horizontal="center" vertical="center"/>
    </xf>
    <xf numFmtId="0" fontId="8" fillId="0" borderId="0" xfId="0" applyFont="1" applyBorder="1" applyAlignment="1">
      <alignment horizontal="center" wrapText="1"/>
    </xf>
    <xf numFmtId="9" fontId="8" fillId="0" borderId="0" xfId="6" applyFont="1" applyBorder="1" applyAlignment="1">
      <alignment vertical="center"/>
    </xf>
    <xf numFmtId="3" fontId="9" fillId="0" borderId="6" xfId="0" applyNumberFormat="1" applyFont="1" applyBorder="1" applyAlignment="1">
      <alignment horizontal="center" vertical="center"/>
    </xf>
    <xf numFmtId="164" fontId="5" fillId="11" borderId="1" xfId="7" applyFont="1" applyFill="1" applyBorder="1" applyAlignment="1">
      <alignment horizontal="right" vertical="center" wrapText="1"/>
    </xf>
    <xf numFmtId="164" fontId="5" fillId="5" borderId="1" xfId="7" applyFont="1" applyFill="1" applyBorder="1" applyAlignment="1">
      <alignment horizontal="right" vertical="center" wrapText="1"/>
    </xf>
    <xf numFmtId="167" fontId="11" fillId="5" borderId="1" xfId="1" applyNumberFormat="1" applyFont="1" applyFill="1" applyBorder="1" applyAlignment="1">
      <alignment vertical="center"/>
    </xf>
    <xf numFmtId="167" fontId="11" fillId="9" borderId="1" xfId="1" applyNumberFormat="1" applyFont="1" applyFill="1" applyBorder="1" applyAlignment="1">
      <alignment vertical="center"/>
    </xf>
    <xf numFmtId="167" fontId="11" fillId="10" borderId="1" xfId="1" applyNumberFormat="1" applyFont="1" applyFill="1" applyBorder="1" applyAlignment="1">
      <alignment vertical="center"/>
    </xf>
    <xf numFmtId="164" fontId="11" fillId="10" borderId="1" xfId="7" applyFont="1" applyFill="1" applyBorder="1" applyAlignment="1">
      <alignment vertical="center"/>
    </xf>
    <xf numFmtId="167" fontId="11" fillId="8" borderId="1" xfId="1" applyNumberFormat="1" applyFont="1" applyFill="1" applyBorder="1" applyAlignment="1">
      <alignment vertical="center"/>
    </xf>
    <xf numFmtId="1" fontId="11" fillId="8" borderId="1" xfId="1" applyNumberFormat="1" applyFont="1" applyFill="1" applyBorder="1" applyAlignment="1">
      <alignment vertical="center"/>
    </xf>
    <xf numFmtId="164" fontId="11" fillId="9" borderId="1" xfId="7" applyFont="1" applyFill="1" applyBorder="1" applyAlignment="1">
      <alignment horizontal="right" vertical="center"/>
    </xf>
    <xf numFmtId="164" fontId="11" fillId="10" borderId="1" xfId="7" applyFont="1" applyFill="1" applyBorder="1" applyAlignment="1">
      <alignment horizontal="right" vertical="center"/>
    </xf>
    <xf numFmtId="164" fontId="11" fillId="8" borderId="1" xfId="7" applyFont="1" applyFill="1" applyBorder="1" applyAlignment="1">
      <alignment vertical="center"/>
    </xf>
    <xf numFmtId="9" fontId="5" fillId="10" borderId="1" xfId="6" applyNumberFormat="1" applyFont="1" applyFill="1" applyBorder="1" applyAlignment="1">
      <alignment horizontal="center" vertical="center" wrapText="1"/>
    </xf>
    <xf numFmtId="164" fontId="5" fillId="8" borderId="1" xfId="7" applyFont="1" applyFill="1" applyBorder="1" applyAlignment="1">
      <alignment horizontal="right" vertical="center" wrapText="1"/>
    </xf>
    <xf numFmtId="3" fontId="9" fillId="0" borderId="4" xfId="0" applyNumberFormat="1" applyFont="1" applyBorder="1" applyAlignment="1">
      <alignment horizontal="center" vertical="center"/>
    </xf>
    <xf numFmtId="9" fontId="5" fillId="9" borderId="5" xfId="6" applyFont="1" applyFill="1" applyBorder="1" applyAlignment="1">
      <alignment horizontal="center" vertical="center" wrapText="1"/>
    </xf>
    <xf numFmtId="164" fontId="5" fillId="10" borderId="1" xfId="7" applyFont="1" applyFill="1" applyBorder="1" applyAlignment="1">
      <alignment horizontal="right" vertical="center" wrapText="1"/>
    </xf>
    <xf numFmtId="9" fontId="5" fillId="9" borderId="5" xfId="6" applyFont="1" applyFill="1" applyBorder="1" applyAlignment="1">
      <alignment horizontal="center" vertical="center" wrapText="1"/>
    </xf>
    <xf numFmtId="10" fontId="11" fillId="9" borderId="1" xfId="6" applyNumberFormat="1" applyFont="1" applyFill="1" applyBorder="1" applyAlignment="1">
      <alignment horizontal="center" vertical="center"/>
    </xf>
    <xf numFmtId="10" fontId="11" fillId="10" borderId="1" xfId="6" applyNumberFormat="1" applyFont="1" applyFill="1" applyBorder="1" applyAlignment="1">
      <alignment horizontal="center" vertical="center"/>
    </xf>
    <xf numFmtId="10" fontId="11" fillId="8" borderId="1" xfId="6" applyNumberFormat="1" applyFont="1" applyFill="1" applyBorder="1" applyAlignment="1">
      <alignment horizontal="center" vertical="center"/>
    </xf>
    <xf numFmtId="10" fontId="11" fillId="8" borderId="1" xfId="1" applyNumberFormat="1" applyFont="1" applyFill="1" applyBorder="1" applyAlignment="1">
      <alignment vertical="center"/>
    </xf>
    <xf numFmtId="10" fontId="9" fillId="15" borderId="6" xfId="6" applyNumberFormat="1" applyFont="1" applyFill="1" applyBorder="1" applyAlignment="1">
      <alignment horizontal="center" vertical="center"/>
    </xf>
    <xf numFmtId="9" fontId="9" fillId="15" borderId="6" xfId="0" applyNumberFormat="1" applyFont="1" applyFill="1" applyBorder="1" applyAlignment="1">
      <alignment horizontal="center" vertical="center" wrapText="1"/>
    </xf>
    <xf numFmtId="9" fontId="9" fillId="15" borderId="6" xfId="0" applyNumberFormat="1" applyFont="1" applyFill="1" applyBorder="1" applyAlignment="1">
      <alignment horizontal="center" vertical="center"/>
    </xf>
    <xf numFmtId="9" fontId="9" fillId="10" borderId="4" xfId="6" applyFont="1" applyFill="1" applyBorder="1" applyAlignment="1">
      <alignment horizontal="center" vertical="center" wrapText="1"/>
    </xf>
    <xf numFmtId="9" fontId="9" fillId="10" borderId="6" xfId="6" applyFont="1" applyFill="1" applyBorder="1" applyAlignment="1">
      <alignment horizontal="center" vertical="center"/>
    </xf>
    <xf numFmtId="1" fontId="5" fillId="2" borderId="2" xfId="1" applyNumberFormat="1" applyFont="1" applyFill="1" applyBorder="1" applyAlignment="1">
      <alignment horizontal="right" vertical="center" wrapText="1"/>
    </xf>
    <xf numFmtId="0" fontId="6" fillId="6" borderId="1" xfId="4" applyFont="1" applyFill="1" applyBorder="1" applyAlignment="1">
      <alignment horizontal="left" vertical="center" wrapText="1"/>
    </xf>
    <xf numFmtId="0" fontId="5" fillId="4" borderId="1" xfId="1" applyNumberFormat="1" applyFont="1" applyFill="1" applyBorder="1" applyAlignment="1">
      <alignment horizontal="left" vertical="center" wrapText="1"/>
    </xf>
    <xf numFmtId="164" fontId="5" fillId="4" borderId="1" xfId="7" applyFont="1" applyFill="1" applyBorder="1" applyAlignment="1">
      <alignment horizontal="right" vertical="center" wrapText="1"/>
    </xf>
    <xf numFmtId="1" fontId="5" fillId="4" borderId="1" xfId="1" applyNumberFormat="1" applyFont="1" applyFill="1" applyBorder="1" applyAlignment="1">
      <alignment horizontal="right" vertical="center" wrapText="1"/>
    </xf>
    <xf numFmtId="0" fontId="5" fillId="2" borderId="1" xfId="0" applyFont="1" applyFill="1" applyBorder="1" applyAlignment="1">
      <alignment horizontal="left" vertical="center" wrapText="1"/>
    </xf>
    <xf numFmtId="0" fontId="5" fillId="2" borderId="1" xfId="1" applyNumberFormat="1" applyFont="1" applyFill="1" applyBorder="1" applyAlignment="1">
      <alignment horizontal="left" vertical="center" wrapText="1"/>
    </xf>
    <xf numFmtId="2" fontId="5" fillId="8" borderId="1" xfId="1" applyNumberFormat="1" applyFont="1" applyFill="1" applyBorder="1" applyAlignment="1">
      <alignment horizontal="right" vertical="center" wrapText="1"/>
    </xf>
    <xf numFmtId="167" fontId="14" fillId="0" borderId="0" xfId="1" applyNumberFormat="1" applyFont="1" applyFill="1"/>
    <xf numFmtId="167" fontId="15" fillId="0" borderId="0" xfId="1" applyNumberFormat="1" applyFont="1"/>
    <xf numFmtId="167" fontId="10" fillId="5" borderId="1" xfId="1" applyNumberFormat="1" applyFont="1" applyFill="1" applyBorder="1" applyAlignment="1">
      <alignment vertical="center"/>
    </xf>
    <xf numFmtId="164" fontId="10" fillId="10" borderId="1" xfId="7" applyFont="1" applyFill="1" applyBorder="1" applyAlignment="1">
      <alignment vertical="center"/>
    </xf>
    <xf numFmtId="167" fontId="10" fillId="8" borderId="1" xfId="1" applyNumberFormat="1" applyFont="1" applyFill="1" applyBorder="1" applyAlignment="1">
      <alignment vertical="center"/>
    </xf>
    <xf numFmtId="164" fontId="10" fillId="8" borderId="1" xfId="7" applyFont="1" applyFill="1" applyBorder="1" applyAlignment="1">
      <alignment vertical="center"/>
    </xf>
    <xf numFmtId="0" fontId="3"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167" fontId="3" fillId="3" borderId="5" xfId="1" applyNumberFormat="1" applyFont="1" applyFill="1" applyBorder="1" applyAlignment="1">
      <alignment horizontal="center" vertical="center" wrapText="1"/>
    </xf>
    <xf numFmtId="167" fontId="3" fillId="16" borderId="5" xfId="1" applyNumberFormat="1" applyFont="1" applyFill="1" applyBorder="1" applyAlignment="1">
      <alignment horizontal="center" vertical="center" wrapText="1"/>
    </xf>
    <xf numFmtId="167" fontId="3" fillId="13" borderId="5" xfId="1" applyNumberFormat="1" applyFont="1" applyFill="1" applyBorder="1" applyAlignment="1">
      <alignment horizontal="center" vertical="center" wrapText="1"/>
    </xf>
    <xf numFmtId="167" fontId="3" fillId="14" borderId="5" xfId="1" applyNumberFormat="1" applyFont="1" applyFill="1" applyBorder="1" applyAlignment="1">
      <alignment horizontal="center" vertical="center" wrapText="1"/>
    </xf>
    <xf numFmtId="167" fontId="3" fillId="12" borderId="5" xfId="1" applyNumberFormat="1" applyFont="1" applyFill="1" applyBorder="1" applyAlignment="1">
      <alignment horizontal="center" vertical="center" wrapText="1"/>
    </xf>
    <xf numFmtId="0" fontId="7" fillId="4" borderId="5" xfId="4" applyFont="1" applyFill="1" applyBorder="1" applyAlignment="1">
      <alignment horizontal="center" vertical="center" wrapText="1"/>
    </xf>
    <xf numFmtId="0" fontId="7" fillId="14" borderId="5" xfId="4" applyFont="1" applyFill="1" applyBorder="1" applyAlignment="1">
      <alignment horizontal="center" vertical="center" wrapText="1"/>
    </xf>
    <xf numFmtId="164" fontId="5" fillId="5" borderId="1" xfId="7" applyFont="1" applyFill="1" applyBorder="1" applyAlignment="1">
      <alignment horizontal="center" vertical="center" wrapText="1"/>
    </xf>
    <xf numFmtId="9" fontId="5" fillId="5" borderId="1" xfId="6" applyFont="1" applyFill="1" applyBorder="1" applyAlignment="1">
      <alignment horizontal="right" vertical="center" wrapText="1"/>
    </xf>
    <xf numFmtId="9" fontId="5" fillId="6" borderId="1" xfId="6" applyFont="1" applyFill="1" applyBorder="1" applyAlignment="1">
      <alignment horizontal="right" vertical="center" wrapText="1"/>
    </xf>
    <xf numFmtId="9" fontId="5" fillId="7" borderId="1" xfId="6" applyFont="1" applyFill="1" applyBorder="1" applyAlignment="1">
      <alignment horizontal="right" vertical="center" wrapText="1"/>
    </xf>
    <xf numFmtId="9" fontId="5" fillId="9" borderId="1" xfId="6" applyFont="1" applyFill="1" applyBorder="1" applyAlignment="1">
      <alignment horizontal="right" vertical="center" wrapText="1"/>
    </xf>
    <xf numFmtId="9" fontId="5" fillId="10" borderId="1" xfId="6" applyFont="1" applyFill="1" applyBorder="1" applyAlignment="1">
      <alignment vertical="center" wrapText="1"/>
    </xf>
    <xf numFmtId="9" fontId="5" fillId="9" borderId="1" xfId="6" applyFont="1" applyFill="1" applyBorder="1" applyAlignment="1">
      <alignment vertical="center" wrapText="1"/>
    </xf>
    <xf numFmtId="9" fontId="5" fillId="9" borderId="2" xfId="6" applyFont="1" applyFill="1" applyBorder="1" applyAlignment="1">
      <alignment vertical="center" wrapText="1"/>
    </xf>
    <xf numFmtId="9" fontId="5" fillId="9" borderId="5" xfId="6" applyFont="1" applyFill="1" applyBorder="1" applyAlignment="1">
      <alignment vertical="center" wrapText="1"/>
    </xf>
    <xf numFmtId="9" fontId="5" fillId="10" borderId="1" xfId="6" applyNumberFormat="1" applyFont="1" applyFill="1" applyBorder="1" applyAlignment="1">
      <alignment vertical="center" wrapText="1"/>
    </xf>
    <xf numFmtId="9" fontId="5" fillId="10" borderId="1" xfId="6" applyFont="1" applyFill="1" applyBorder="1" applyAlignment="1">
      <alignment horizontal="right" vertical="center" wrapText="1"/>
    </xf>
    <xf numFmtId="9" fontId="5" fillId="8" borderId="1" xfId="6" applyFont="1" applyFill="1" applyBorder="1" applyAlignment="1">
      <alignment horizontal="right" vertical="center" wrapText="1"/>
    </xf>
    <xf numFmtId="9" fontId="5" fillId="8" borderId="1" xfId="6" applyFont="1" applyFill="1" applyBorder="1" applyAlignment="1">
      <alignment vertical="center" wrapText="1"/>
    </xf>
    <xf numFmtId="164" fontId="10" fillId="10" borderId="2" xfId="7" applyFont="1" applyFill="1" applyBorder="1" applyAlignment="1">
      <alignment horizontal="center" vertical="center"/>
    </xf>
    <xf numFmtId="164" fontId="10" fillId="9" borderId="1" xfId="7" applyFont="1" applyFill="1" applyBorder="1" applyAlignment="1">
      <alignment vertical="center"/>
    </xf>
    <xf numFmtId="1" fontId="10" fillId="8" borderId="5" xfId="1" applyNumberFormat="1" applyFont="1" applyFill="1" applyBorder="1" applyAlignment="1">
      <alignment vertical="center"/>
    </xf>
    <xf numFmtId="1" fontId="10" fillId="8" borderId="5" xfId="7" applyNumberFormat="1" applyFont="1" applyFill="1" applyBorder="1" applyAlignment="1">
      <alignment vertical="center"/>
    </xf>
    <xf numFmtId="167" fontId="3" fillId="17" borderId="5" xfId="1" applyNumberFormat="1" applyFont="1" applyFill="1" applyBorder="1" applyAlignment="1">
      <alignment horizontal="center" vertical="center" wrapText="1"/>
    </xf>
    <xf numFmtId="167" fontId="3" fillId="15" borderId="5" xfId="1"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15" borderId="17" xfId="0" applyFont="1" applyFill="1" applyBorder="1" applyAlignment="1">
      <alignment horizontal="center" vertical="center" wrapText="1"/>
    </xf>
    <xf numFmtId="3" fontId="9" fillId="0" borderId="6" xfId="0" applyNumberFormat="1" applyFont="1" applyFill="1" applyBorder="1" applyAlignment="1">
      <alignment horizontal="center" vertical="center"/>
    </xf>
    <xf numFmtId="3" fontId="9" fillId="0" borderId="4" xfId="0" applyNumberFormat="1" applyFont="1" applyFill="1" applyBorder="1" applyAlignment="1">
      <alignment horizontal="center" vertical="center"/>
    </xf>
    <xf numFmtId="164" fontId="10" fillId="10" borderId="1" xfId="7" applyNumberFormat="1" applyFont="1" applyFill="1" applyBorder="1" applyAlignment="1">
      <alignment vertical="center"/>
    </xf>
    <xf numFmtId="164" fontId="10" fillId="10" borderId="2" xfId="7" applyNumberFormat="1" applyFont="1" applyFill="1" applyBorder="1" applyAlignment="1">
      <alignment horizontal="center" vertical="center"/>
    </xf>
    <xf numFmtId="0" fontId="5" fillId="8" borderId="1" xfId="1" applyNumberFormat="1" applyFont="1" applyFill="1" applyBorder="1" applyAlignment="1">
      <alignment horizontal="left" vertical="center" wrapText="1"/>
    </xf>
    <xf numFmtId="0" fontId="6" fillId="5" borderId="1" xfId="4" applyFont="1" applyFill="1" applyBorder="1" applyAlignment="1">
      <alignment horizontal="left" vertical="center" wrapText="1"/>
    </xf>
    <xf numFmtId="0" fontId="6" fillId="6" borderId="5" xfId="4" applyFont="1" applyFill="1" applyBorder="1" applyAlignment="1">
      <alignment horizontal="left" vertical="center" wrapText="1"/>
    </xf>
    <xf numFmtId="0" fontId="6" fillId="7" borderId="1" xfId="4" applyFont="1" applyFill="1" applyBorder="1" applyAlignment="1">
      <alignment horizontal="left" vertical="center" wrapText="1"/>
    </xf>
    <xf numFmtId="0" fontId="6" fillId="10" borderId="1" xfId="4" applyFont="1" applyFill="1" applyBorder="1" applyAlignment="1">
      <alignment horizontal="left" vertical="center" wrapText="1"/>
    </xf>
    <xf numFmtId="0" fontId="5" fillId="11" borderId="1" xfId="1" applyNumberFormat="1" applyFont="1" applyFill="1" applyBorder="1" applyAlignment="1">
      <alignment horizontal="left" vertical="center" wrapText="1"/>
    </xf>
    <xf numFmtId="0" fontId="5" fillId="9" borderId="1" xfId="4" applyFont="1" applyFill="1" applyBorder="1" applyAlignment="1">
      <alignment horizontal="left" vertical="center" wrapText="1"/>
    </xf>
    <xf numFmtId="0" fontId="6" fillId="9" borderId="1" xfId="4" applyFont="1" applyFill="1" applyBorder="1" applyAlignment="1">
      <alignment horizontal="left" vertical="center" wrapText="1"/>
    </xf>
    <xf numFmtId="0" fontId="6" fillId="5" borderId="1" xfId="4" applyFont="1" applyFill="1" applyBorder="1" applyAlignment="1">
      <alignment vertical="center" wrapText="1"/>
    </xf>
    <xf numFmtId="0" fontId="6" fillId="6" borderId="1" xfId="4" applyFont="1" applyFill="1" applyBorder="1" applyAlignment="1">
      <alignment vertical="center" wrapText="1"/>
    </xf>
    <xf numFmtId="0" fontId="6" fillId="6" borderId="5" xfId="4" applyFont="1" applyFill="1" applyBorder="1" applyAlignment="1">
      <alignment vertical="center" wrapText="1"/>
    </xf>
    <xf numFmtId="0" fontId="6" fillId="7" borderId="1" xfId="4" applyFont="1" applyFill="1" applyBorder="1" applyAlignment="1">
      <alignment vertical="center" wrapText="1"/>
    </xf>
    <xf numFmtId="0" fontId="5" fillId="9" borderId="1" xfId="4" applyFont="1" applyFill="1" applyBorder="1" applyAlignment="1">
      <alignment vertical="center" wrapText="1"/>
    </xf>
    <xf numFmtId="0" fontId="6" fillId="9" borderId="1" xfId="4" applyFont="1" applyFill="1" applyBorder="1" applyAlignment="1">
      <alignment vertical="center" wrapText="1"/>
    </xf>
    <xf numFmtId="0" fontId="5" fillId="9" borderId="1" xfId="4" applyFont="1" applyFill="1" applyBorder="1" applyAlignment="1">
      <alignment vertical="center" wrapText="1"/>
    </xf>
    <xf numFmtId="0" fontId="6" fillId="10" borderId="1" xfId="4" applyFont="1" applyFill="1" applyBorder="1" applyAlignment="1">
      <alignment vertical="center" wrapText="1"/>
    </xf>
    <xf numFmtId="0" fontId="6" fillId="10" borderId="1" xfId="4" applyFont="1" applyFill="1" applyBorder="1" applyAlignment="1">
      <alignment vertical="center" wrapText="1"/>
    </xf>
    <xf numFmtId="0" fontId="5" fillId="8" borderId="1" xfId="1" applyNumberFormat="1" applyFont="1" applyFill="1" applyBorder="1" applyAlignment="1">
      <alignment vertical="center" wrapText="1"/>
    </xf>
    <xf numFmtId="0" fontId="5" fillId="11" borderId="1" xfId="1" applyNumberFormat="1" applyFont="1" applyFill="1" applyBorder="1" applyAlignment="1">
      <alignment vertical="center" wrapText="1"/>
    </xf>
    <xf numFmtId="0" fontId="5" fillId="4" borderId="1" xfId="0" applyFont="1" applyFill="1" applyBorder="1" applyAlignment="1">
      <alignment vertical="center" wrapText="1"/>
    </xf>
    <xf numFmtId="0" fontId="5" fillId="4" borderId="1" xfId="1" applyNumberFormat="1" applyFont="1" applyFill="1" applyBorder="1" applyAlignment="1">
      <alignment vertical="center" wrapText="1"/>
    </xf>
    <xf numFmtId="0" fontId="5" fillId="6" borderId="5" xfId="4" applyFont="1" applyFill="1" applyBorder="1" applyAlignment="1">
      <alignment vertical="center" wrapText="1"/>
    </xf>
    <xf numFmtId="0" fontId="10" fillId="5" borderId="1" xfId="0" applyFont="1" applyFill="1" applyBorder="1" applyAlignment="1">
      <alignment vertical="center" wrapText="1"/>
    </xf>
    <xf numFmtId="9" fontId="5" fillId="8" borderId="1" xfId="6" applyNumberFormat="1" applyFont="1" applyFill="1" applyBorder="1" applyAlignment="1">
      <alignment horizontal="center" vertical="center" wrapText="1"/>
    </xf>
    <xf numFmtId="9" fontId="5" fillId="6" borderId="1" xfId="6" applyNumberFormat="1" applyFont="1" applyFill="1" applyBorder="1" applyAlignment="1">
      <alignment horizontal="center" vertical="center" wrapText="1"/>
    </xf>
    <xf numFmtId="9" fontId="5" fillId="4" borderId="1" xfId="6" applyFont="1" applyFill="1" applyBorder="1" applyAlignment="1">
      <alignment horizontal="center" vertical="center" wrapText="1"/>
    </xf>
    <xf numFmtId="9" fontId="5" fillId="2" borderId="1" xfId="6" applyFont="1" applyFill="1" applyBorder="1" applyAlignment="1">
      <alignment horizontal="right" vertical="center" wrapText="1"/>
    </xf>
    <xf numFmtId="9" fontId="5" fillId="9" borderId="5" xfId="6" applyNumberFormat="1" applyFont="1" applyFill="1" applyBorder="1" applyAlignment="1">
      <alignment horizontal="center" vertical="center" wrapText="1"/>
    </xf>
    <xf numFmtId="10" fontId="9" fillId="6" borderId="6" xfId="6" applyNumberFormat="1" applyFont="1" applyFill="1" applyBorder="1" applyAlignment="1">
      <alignment horizontal="center" vertical="center"/>
    </xf>
    <xf numFmtId="0" fontId="9" fillId="6" borderId="17" xfId="0" applyFont="1" applyFill="1" applyBorder="1" applyAlignment="1">
      <alignment horizontal="center" vertical="center" wrapText="1"/>
    </xf>
    <xf numFmtId="10" fontId="9" fillId="18" borderId="6" xfId="6" applyNumberFormat="1" applyFont="1" applyFill="1" applyBorder="1" applyAlignment="1">
      <alignment horizontal="center" vertical="center"/>
    </xf>
    <xf numFmtId="0" fontId="9" fillId="18" borderId="17" xfId="0" applyFont="1" applyFill="1" applyBorder="1" applyAlignment="1">
      <alignment horizontal="center" vertical="center" wrapText="1"/>
    </xf>
    <xf numFmtId="10" fontId="9" fillId="19" borderId="6" xfId="6" applyNumberFormat="1" applyFont="1" applyFill="1" applyBorder="1" applyAlignment="1">
      <alignment horizontal="center" vertical="center"/>
    </xf>
    <xf numFmtId="0" fontId="9" fillId="19" borderId="6" xfId="0" applyFont="1" applyFill="1" applyBorder="1" applyAlignment="1">
      <alignment horizontal="center" vertical="center" wrapText="1"/>
    </xf>
    <xf numFmtId="10" fontId="9" fillId="12" borderId="6" xfId="6" applyNumberFormat="1" applyFont="1" applyFill="1" applyBorder="1" applyAlignment="1">
      <alignment horizontal="center" vertical="center"/>
    </xf>
    <xf numFmtId="0" fontId="9" fillId="12" borderId="8" xfId="0" applyFont="1" applyFill="1" applyBorder="1" applyAlignment="1">
      <alignment horizontal="center" vertical="center" wrapText="1"/>
    </xf>
    <xf numFmtId="9" fontId="9" fillId="12" borderId="6" xfId="0" applyNumberFormat="1" applyFont="1" applyFill="1" applyBorder="1" applyAlignment="1">
      <alignment horizontal="center" vertical="center" wrapText="1"/>
    </xf>
    <xf numFmtId="9" fontId="9" fillId="12" borderId="6" xfId="0" applyNumberFormat="1" applyFont="1" applyFill="1" applyBorder="1" applyAlignment="1">
      <alignment horizontal="center" vertical="center"/>
    </xf>
    <xf numFmtId="9" fontId="9" fillId="6" borderId="6" xfId="0" applyNumberFormat="1" applyFont="1" applyFill="1" applyBorder="1" applyAlignment="1">
      <alignment horizontal="center" vertical="center" wrapText="1"/>
    </xf>
    <xf numFmtId="9" fontId="9" fillId="6" borderId="6" xfId="0" applyNumberFormat="1" applyFont="1" applyFill="1" applyBorder="1" applyAlignment="1">
      <alignment horizontal="center" vertical="center"/>
    </xf>
    <xf numFmtId="9" fontId="9" fillId="18" borderId="6" xfId="0" applyNumberFormat="1" applyFont="1" applyFill="1" applyBorder="1" applyAlignment="1">
      <alignment horizontal="center" vertical="center" wrapText="1"/>
    </xf>
    <xf numFmtId="9" fontId="9" fillId="19" borderId="6" xfId="0" applyNumberFormat="1" applyFont="1" applyFill="1" applyBorder="1" applyAlignment="1">
      <alignment horizontal="center" vertical="center" wrapText="1"/>
    </xf>
    <xf numFmtId="9" fontId="9" fillId="19" borderId="4" xfId="6" applyFont="1" applyFill="1" applyBorder="1" applyAlignment="1">
      <alignment horizontal="center" vertical="center" wrapText="1"/>
    </xf>
    <xf numFmtId="9" fontId="9" fillId="19" borderId="6" xfId="6" applyFont="1" applyFill="1" applyBorder="1" applyAlignment="1">
      <alignment horizontal="center" vertical="center"/>
    </xf>
    <xf numFmtId="9" fontId="9" fillId="6" borderId="4" xfId="6" applyFont="1" applyFill="1" applyBorder="1" applyAlignment="1">
      <alignment horizontal="center" vertical="center" wrapText="1"/>
    </xf>
    <xf numFmtId="9" fontId="9" fillId="6" borderId="6" xfId="6" applyFont="1" applyFill="1" applyBorder="1" applyAlignment="1">
      <alignment horizontal="center" vertical="center"/>
    </xf>
    <xf numFmtId="9" fontId="9" fillId="18" borderId="4" xfId="6" applyFont="1" applyFill="1" applyBorder="1" applyAlignment="1">
      <alignment horizontal="center" vertical="center" wrapText="1"/>
    </xf>
    <xf numFmtId="9" fontId="9" fillId="18" borderId="6" xfId="6" applyFont="1" applyFill="1" applyBorder="1" applyAlignment="1">
      <alignment horizontal="center" vertical="center"/>
    </xf>
    <xf numFmtId="9" fontId="9" fillId="20" borderId="4" xfId="6" applyFont="1" applyFill="1" applyBorder="1" applyAlignment="1">
      <alignment horizontal="center" vertical="center" wrapText="1"/>
    </xf>
    <xf numFmtId="9" fontId="9" fillId="20" borderId="6" xfId="6" applyFont="1" applyFill="1" applyBorder="1" applyAlignment="1">
      <alignment horizontal="center" vertical="center"/>
    </xf>
    <xf numFmtId="4" fontId="9" fillId="0" borderId="18" xfId="0" applyNumberFormat="1" applyFont="1" applyFill="1" applyBorder="1" applyAlignment="1">
      <alignment horizontal="center" vertical="center"/>
    </xf>
    <xf numFmtId="4" fontId="9" fillId="0" borderId="19" xfId="0" applyNumberFormat="1" applyFont="1" applyFill="1" applyBorder="1" applyAlignment="1">
      <alignment horizontal="center" vertical="center"/>
    </xf>
    <xf numFmtId="9" fontId="8" fillId="0" borderId="0" xfId="6" applyFont="1" applyBorder="1" applyAlignment="1">
      <alignment horizontal="center" wrapText="1"/>
    </xf>
    <xf numFmtId="0" fontId="3" fillId="14" borderId="5"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xf numFmtId="0" fontId="5" fillId="0" borderId="0" xfId="0" applyFont="1" applyFill="1" applyBorder="1" applyAlignment="1">
      <alignment horizontal="center" vertical="center"/>
    </xf>
    <xf numFmtId="0" fontId="6" fillId="10" borderId="1" xfId="4" applyFont="1" applyFill="1" applyBorder="1" applyAlignment="1">
      <alignment vertical="center" wrapText="1"/>
    </xf>
    <xf numFmtId="0" fontId="5" fillId="8" borderId="1" xfId="1" applyNumberFormat="1" applyFont="1" applyFill="1" applyBorder="1" applyAlignment="1">
      <alignment vertical="center" wrapText="1"/>
    </xf>
    <xf numFmtId="164" fontId="10" fillId="10" borderId="2" xfId="7" applyNumberFormat="1" applyFont="1" applyFill="1" applyBorder="1" applyAlignment="1">
      <alignment horizontal="center" vertical="center"/>
    </xf>
    <xf numFmtId="0" fontId="5" fillId="9" borderId="1" xfId="4" applyFont="1" applyFill="1" applyBorder="1" applyAlignment="1">
      <alignment vertical="center" wrapText="1"/>
    </xf>
    <xf numFmtId="0" fontId="5" fillId="8" borderId="1" xfId="1" applyNumberFormat="1" applyFont="1" applyFill="1" applyBorder="1" applyAlignment="1">
      <alignment vertical="center" wrapText="1"/>
    </xf>
    <xf numFmtId="167" fontId="3" fillId="10" borderId="5" xfId="1" applyNumberFormat="1" applyFont="1" applyFill="1" applyBorder="1" applyAlignment="1">
      <alignment horizontal="center" vertical="center" wrapText="1"/>
    </xf>
    <xf numFmtId="1" fontId="5" fillId="5" borderId="1" xfId="6" applyNumberFormat="1" applyFont="1" applyFill="1" applyBorder="1" applyAlignment="1">
      <alignment horizontal="right" vertical="center" wrapText="1"/>
    </xf>
    <xf numFmtId="9" fontId="9" fillId="19" borderId="4" xfId="0" applyNumberFormat="1" applyFont="1" applyFill="1" applyBorder="1" applyAlignment="1">
      <alignment horizontal="center" vertical="center"/>
    </xf>
    <xf numFmtId="9" fontId="9" fillId="6" borderId="4" xfId="0" applyNumberFormat="1" applyFont="1" applyFill="1" applyBorder="1" applyAlignment="1">
      <alignment horizontal="center" vertical="center" wrapText="1"/>
    </xf>
    <xf numFmtId="0" fontId="7" fillId="14" borderId="20" xfId="4" applyFont="1" applyFill="1" applyBorder="1" applyAlignment="1">
      <alignment horizontal="center" vertical="center" wrapText="1"/>
    </xf>
    <xf numFmtId="0" fontId="7" fillId="6" borderId="6" xfId="4" applyFont="1" applyFill="1" applyBorder="1" applyAlignment="1">
      <alignment horizontal="center" vertical="center" wrapText="1"/>
    </xf>
    <xf numFmtId="167" fontId="3" fillId="19" borderId="5" xfId="1" applyNumberFormat="1" applyFont="1" applyFill="1" applyBorder="1" applyAlignment="1">
      <alignment horizontal="center" vertical="center" wrapText="1"/>
    </xf>
    <xf numFmtId="10" fontId="9" fillId="21" borderId="6" xfId="6" applyNumberFormat="1" applyFont="1" applyFill="1" applyBorder="1" applyAlignment="1">
      <alignment horizontal="center" vertical="center"/>
    </xf>
    <xf numFmtId="0" fontId="9" fillId="21"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10" borderId="5" xfId="0" applyFont="1" applyFill="1" applyBorder="1" applyAlignment="1">
      <alignment horizontal="center" vertical="center" wrapText="1"/>
    </xf>
    <xf numFmtId="0" fontId="6" fillId="10" borderId="1" xfId="4" applyFont="1" applyFill="1" applyBorder="1" applyAlignment="1">
      <alignment vertical="center" wrapText="1"/>
    </xf>
    <xf numFmtId="0" fontId="5" fillId="8" borderId="1" xfId="6" applyNumberFormat="1" applyFont="1" applyFill="1" applyBorder="1" applyAlignment="1">
      <alignment horizontal="right" vertical="center" wrapText="1"/>
    </xf>
    <xf numFmtId="1" fontId="5" fillId="8" borderId="1" xfId="6" applyNumberFormat="1" applyFont="1" applyFill="1" applyBorder="1" applyAlignment="1">
      <alignment horizontal="right" vertical="center" wrapText="1"/>
    </xf>
    <xf numFmtId="0" fontId="5" fillId="6" borderId="1" xfId="6" applyNumberFormat="1" applyFont="1" applyFill="1" applyBorder="1" applyAlignment="1">
      <alignment horizontal="right" vertical="center" wrapText="1"/>
    </xf>
    <xf numFmtId="1" fontId="5" fillId="6" borderId="1" xfId="6" applyNumberFormat="1" applyFont="1" applyFill="1" applyBorder="1" applyAlignment="1">
      <alignment horizontal="right" vertical="center" wrapText="1"/>
    </xf>
    <xf numFmtId="0" fontId="5" fillId="7" borderId="1" xfId="6" applyNumberFormat="1" applyFont="1" applyFill="1" applyBorder="1" applyAlignment="1">
      <alignment horizontal="right" vertical="center" wrapText="1"/>
    </xf>
    <xf numFmtId="1" fontId="5" fillId="9" borderId="1" xfId="6" applyNumberFormat="1" applyFont="1" applyFill="1" applyBorder="1" applyAlignment="1">
      <alignment horizontal="right" vertical="center" wrapText="1"/>
    </xf>
    <xf numFmtId="1" fontId="5" fillId="10" borderId="1" xfId="6" applyNumberFormat="1" applyFont="1" applyFill="1" applyBorder="1" applyAlignment="1">
      <alignment horizontal="right" vertical="center" wrapText="1"/>
    </xf>
    <xf numFmtId="1" fontId="5" fillId="2" borderId="1" xfId="6" applyNumberFormat="1" applyFont="1" applyFill="1" applyBorder="1" applyAlignment="1">
      <alignment horizontal="right" vertical="center" wrapText="1"/>
    </xf>
    <xf numFmtId="9" fontId="5" fillId="2" borderId="2" xfId="6" applyFont="1" applyFill="1" applyBorder="1" applyAlignment="1">
      <alignment horizontal="right" vertical="center" wrapText="1"/>
    </xf>
    <xf numFmtId="2" fontId="5" fillId="8" borderId="1" xfId="7" applyNumberFormat="1" applyFont="1" applyFill="1" applyBorder="1" applyAlignment="1">
      <alignment horizontal="right" vertical="center" wrapText="1"/>
    </xf>
    <xf numFmtId="10" fontId="8" fillId="22" borderId="0" xfId="6" applyNumberFormat="1" applyFont="1" applyFill="1" applyBorder="1" applyAlignment="1">
      <alignment horizontal="center" wrapText="1"/>
    </xf>
    <xf numFmtId="0" fontId="18"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18" fillId="0" borderId="0" xfId="0" applyFont="1" applyBorder="1" applyAlignment="1">
      <alignment vertical="center" wrapText="1"/>
    </xf>
    <xf numFmtId="0" fontId="5" fillId="0" borderId="0" xfId="0" applyFont="1" applyBorder="1" applyAlignment="1"/>
    <xf numFmtId="9" fontId="9" fillId="23" borderId="4" xfId="6" applyFont="1" applyFill="1" applyBorder="1" applyAlignment="1">
      <alignment horizontal="center" vertical="center" wrapText="1"/>
    </xf>
    <xf numFmtId="9" fontId="9" fillId="23" borderId="6" xfId="6" applyFont="1" applyFill="1" applyBorder="1" applyAlignment="1">
      <alignment horizontal="center" vertical="center"/>
    </xf>
    <xf numFmtId="9" fontId="9" fillId="23" borderId="4" xfId="0" applyNumberFormat="1" applyFont="1" applyFill="1" applyBorder="1" applyAlignment="1">
      <alignment horizontal="center" vertical="center" wrapText="1"/>
    </xf>
    <xf numFmtId="167" fontId="3" fillId="7" borderId="5" xfId="1" applyNumberFormat="1" applyFont="1" applyFill="1" applyBorder="1" applyAlignment="1">
      <alignment horizontal="center" vertical="center" wrapText="1"/>
    </xf>
    <xf numFmtId="0" fontId="7" fillId="7" borderId="6" xfId="4" applyFont="1" applyFill="1" applyBorder="1" applyAlignment="1">
      <alignment horizontal="center" vertical="center" wrapText="1"/>
    </xf>
    <xf numFmtId="10" fontId="9" fillId="23" borderId="6" xfId="6" applyNumberFormat="1" applyFont="1" applyFill="1" applyBorder="1" applyAlignment="1">
      <alignment horizontal="center" vertical="center"/>
    </xf>
    <xf numFmtId="0" fontId="9" fillId="23" borderId="6" xfId="0" applyFont="1" applyFill="1" applyBorder="1" applyAlignment="1">
      <alignment horizontal="center" vertical="center" wrapText="1"/>
    </xf>
    <xf numFmtId="167" fontId="10" fillId="23" borderId="1" xfId="1" applyNumberFormat="1" applyFont="1" applyFill="1" applyBorder="1" applyAlignment="1">
      <alignment vertical="center"/>
    </xf>
    <xf numFmtId="164" fontId="10" fillId="23" borderId="1" xfId="7" applyFont="1" applyFill="1" applyBorder="1" applyAlignment="1">
      <alignment vertical="center"/>
    </xf>
    <xf numFmtId="164" fontId="10" fillId="23" borderId="2" xfId="7" applyNumberFormat="1" applyFont="1" applyFill="1" applyBorder="1" applyAlignment="1">
      <alignment horizontal="center" vertical="center"/>
    </xf>
    <xf numFmtId="164" fontId="10" fillId="23" borderId="1" xfId="7" applyNumberFormat="1" applyFont="1" applyFill="1" applyBorder="1" applyAlignment="1">
      <alignment vertical="center"/>
    </xf>
    <xf numFmtId="1" fontId="10" fillId="23" borderId="5" xfId="1" applyNumberFormat="1" applyFont="1" applyFill="1" applyBorder="1" applyAlignment="1">
      <alignment vertical="center"/>
    </xf>
    <xf numFmtId="0" fontId="6" fillId="18" borderId="1" xfId="4" applyFont="1" applyFill="1" applyBorder="1" applyAlignment="1">
      <alignment vertical="center" wrapText="1"/>
    </xf>
    <xf numFmtId="164" fontId="5" fillId="18" borderId="1" xfId="7" applyFont="1" applyFill="1" applyBorder="1" applyAlignment="1">
      <alignment horizontal="right" vertical="center" wrapText="1"/>
    </xf>
    <xf numFmtId="9" fontId="5" fillId="18" borderId="1" xfId="6" applyFont="1" applyFill="1" applyBorder="1" applyAlignment="1">
      <alignment horizontal="center" vertical="center" wrapText="1"/>
    </xf>
    <xf numFmtId="0" fontId="10" fillId="18" borderId="1" xfId="0" applyFont="1" applyFill="1" applyBorder="1" applyAlignment="1">
      <alignment vertical="center" wrapText="1"/>
    </xf>
    <xf numFmtId="0" fontId="5" fillId="18" borderId="5" xfId="4" applyFont="1" applyFill="1" applyBorder="1" applyAlignment="1">
      <alignment vertical="center" wrapText="1"/>
    </xf>
    <xf numFmtId="0" fontId="5" fillId="18" borderId="1" xfId="4" applyFont="1" applyFill="1" applyBorder="1" applyAlignment="1">
      <alignment vertical="center" wrapText="1"/>
    </xf>
    <xf numFmtId="0" fontId="5" fillId="18" borderId="1" xfId="0" applyFont="1" applyFill="1" applyBorder="1" applyAlignment="1">
      <alignment vertical="center" wrapText="1"/>
    </xf>
    <xf numFmtId="0" fontId="5" fillId="18" borderId="1" xfId="1" applyNumberFormat="1" applyFont="1" applyFill="1" applyBorder="1" applyAlignment="1">
      <alignment vertical="center" wrapText="1"/>
    </xf>
    <xf numFmtId="9" fontId="5" fillId="18" borderId="1" xfId="6" applyFont="1" applyFill="1" applyBorder="1" applyAlignment="1">
      <alignment horizontal="right" vertical="center" wrapText="1"/>
    </xf>
    <xf numFmtId="1" fontId="5" fillId="18" borderId="1" xfId="1" applyNumberFormat="1" applyFont="1" applyFill="1" applyBorder="1" applyAlignment="1">
      <alignment horizontal="right" vertical="center" wrapText="1"/>
    </xf>
    <xf numFmtId="1" fontId="5" fillId="18" borderId="1" xfId="7" applyNumberFormat="1" applyFont="1" applyFill="1" applyBorder="1" applyAlignment="1">
      <alignment horizontal="right" vertical="center" wrapText="1"/>
    </xf>
    <xf numFmtId="0" fontId="5" fillId="18" borderId="1" xfId="6" applyNumberFormat="1" applyFont="1" applyFill="1" applyBorder="1" applyAlignment="1">
      <alignment horizontal="right" vertical="center" wrapText="1"/>
    </xf>
    <xf numFmtId="1" fontId="5" fillId="18" borderId="1" xfId="6" applyNumberFormat="1" applyFont="1" applyFill="1" applyBorder="1" applyAlignment="1">
      <alignment horizontal="right" vertical="center" wrapText="1"/>
    </xf>
    <xf numFmtId="2" fontId="5" fillId="18" borderId="1" xfId="7" applyNumberFormat="1" applyFont="1" applyFill="1" applyBorder="1" applyAlignment="1">
      <alignment horizontal="right" vertical="center" wrapText="1"/>
    </xf>
    <xf numFmtId="9" fontId="5" fillId="18" borderId="2" xfId="6" applyFont="1" applyFill="1" applyBorder="1" applyAlignment="1">
      <alignment horizontal="right" vertical="center" wrapText="1"/>
    </xf>
    <xf numFmtId="9" fontId="5" fillId="18" borderId="1" xfId="6" applyNumberFormat="1" applyFont="1" applyFill="1" applyBorder="1" applyAlignment="1">
      <alignment horizontal="center" vertical="center" wrapText="1"/>
    </xf>
    <xf numFmtId="9" fontId="5" fillId="18" borderId="5" xfId="6" applyNumberFormat="1" applyFont="1" applyFill="1" applyBorder="1" applyAlignment="1">
      <alignment horizontal="center" vertical="center" wrapText="1"/>
    </xf>
    <xf numFmtId="2" fontId="5" fillId="18" borderId="1" xfId="1" applyNumberFormat="1" applyFont="1" applyFill="1" applyBorder="1" applyAlignment="1">
      <alignment horizontal="right" vertical="center" wrapText="1"/>
    </xf>
    <xf numFmtId="0" fontId="3" fillId="7" borderId="5" xfId="0" applyFont="1" applyFill="1" applyBorder="1" applyAlignment="1">
      <alignment horizontal="center" vertical="center" wrapText="1"/>
    </xf>
    <xf numFmtId="9" fontId="9" fillId="18" borderId="6" xfId="0" applyNumberFormat="1" applyFont="1" applyFill="1" applyBorder="1" applyAlignment="1">
      <alignment horizontal="center" vertical="center"/>
    </xf>
    <xf numFmtId="164" fontId="10" fillId="23" borderId="2" xfId="7" applyNumberFormat="1" applyFont="1" applyFill="1" applyBorder="1" applyAlignment="1">
      <alignment horizontal="center" vertical="center"/>
    </xf>
    <xf numFmtId="9" fontId="10" fillId="23" borderId="1" xfId="6" applyFont="1" applyFill="1" applyBorder="1" applyAlignment="1">
      <alignment vertical="center"/>
    </xf>
    <xf numFmtId="164" fontId="10" fillId="19" borderId="1" xfId="7" applyFont="1" applyFill="1" applyBorder="1" applyAlignment="1">
      <alignment vertical="center"/>
    </xf>
    <xf numFmtId="9" fontId="10" fillId="23" borderId="2" xfId="6" applyFont="1" applyFill="1" applyBorder="1" applyAlignment="1">
      <alignment horizontal="center" vertical="center"/>
    </xf>
    <xf numFmtId="9" fontId="9" fillId="19" borderId="19" xfId="6" applyFont="1" applyFill="1" applyBorder="1" applyAlignment="1">
      <alignment horizontal="center" vertical="center"/>
    </xf>
    <xf numFmtId="0" fontId="7" fillId="8" borderId="6" xfId="4" applyFont="1" applyFill="1" applyBorder="1" applyAlignment="1">
      <alignment horizontal="center" vertical="center" wrapText="1"/>
    </xf>
    <xf numFmtId="0" fontId="10" fillId="8" borderId="1" xfId="0" applyFont="1" applyFill="1" applyBorder="1" applyAlignment="1">
      <alignment vertical="center" wrapText="1"/>
    </xf>
    <xf numFmtId="0" fontId="5" fillId="8" borderId="5" xfId="4" applyFont="1" applyFill="1" applyBorder="1" applyAlignment="1">
      <alignment vertical="center" wrapText="1"/>
    </xf>
    <xf numFmtId="0" fontId="5" fillId="0" borderId="0" xfId="0" applyFont="1" applyFill="1" applyBorder="1" applyAlignment="1">
      <alignment horizontal="center" vertical="center" wrapText="1"/>
    </xf>
    <xf numFmtId="0" fontId="5" fillId="10" borderId="1" xfId="4" applyFont="1" applyFill="1" applyBorder="1" applyAlignment="1">
      <alignment vertical="center" wrapText="1"/>
    </xf>
    <xf numFmtId="0" fontId="5" fillId="10" borderId="1" xfId="0" applyFont="1" applyFill="1" applyBorder="1" applyAlignment="1">
      <alignment vertical="center" wrapText="1"/>
    </xf>
    <xf numFmtId="0" fontId="5" fillId="10" borderId="1" xfId="1" applyNumberFormat="1" applyFont="1" applyFill="1" applyBorder="1" applyAlignment="1">
      <alignment vertical="center" wrapText="1"/>
    </xf>
    <xf numFmtId="166" fontId="5" fillId="0" borderId="0" xfId="1" applyFont="1" applyFill="1"/>
    <xf numFmtId="0" fontId="6" fillId="10" borderId="1" xfId="4" applyFont="1" applyFill="1" applyBorder="1" applyAlignment="1">
      <alignment vertical="center" wrapText="1"/>
    </xf>
    <xf numFmtId="0" fontId="6" fillId="8" borderId="1" xfId="4" applyFont="1" applyFill="1" applyBorder="1" applyAlignment="1">
      <alignment vertical="center" wrapText="1"/>
    </xf>
    <xf numFmtId="3" fontId="5" fillId="10" borderId="1" xfId="0" applyNumberFormat="1" applyFont="1" applyFill="1" applyBorder="1" applyAlignment="1">
      <alignment horizontal="center" vertical="center" wrapText="1"/>
    </xf>
    <xf numFmtId="0" fontId="5" fillId="22" borderId="0" xfId="0" applyFont="1" applyFill="1" applyBorder="1" applyAlignment="1"/>
    <xf numFmtId="0" fontId="6" fillId="6" borderId="1" xfId="4" applyFont="1" applyFill="1" applyBorder="1" applyAlignment="1">
      <alignment vertical="center" wrapText="1"/>
    </xf>
    <xf numFmtId="0" fontId="10" fillId="6" borderId="1" xfId="0" applyFont="1" applyFill="1" applyBorder="1" applyAlignment="1">
      <alignment vertical="center" wrapText="1"/>
    </xf>
    <xf numFmtId="0" fontId="5" fillId="6" borderId="1" xfId="4" applyFont="1" applyFill="1" applyBorder="1" applyAlignment="1">
      <alignment vertical="center" wrapText="1"/>
    </xf>
    <xf numFmtId="0" fontId="5" fillId="6" borderId="1" xfId="0" applyFont="1" applyFill="1" applyBorder="1" applyAlignment="1">
      <alignment vertical="center" wrapText="1"/>
    </xf>
    <xf numFmtId="0" fontId="5" fillId="6" borderId="1" xfId="1" applyNumberFormat="1" applyFont="1" applyFill="1" applyBorder="1" applyAlignment="1">
      <alignment vertical="center" wrapText="1"/>
    </xf>
    <xf numFmtId="0" fontId="5" fillId="0" borderId="0" xfId="0" applyFont="1" applyFill="1" applyBorder="1" applyAlignment="1">
      <alignment horizontal="center" vertical="center" wrapText="1"/>
    </xf>
    <xf numFmtId="9" fontId="10" fillId="23" borderId="1" xfId="6" applyFont="1" applyFill="1" applyBorder="1" applyAlignment="1">
      <alignment horizontal="center" vertical="center"/>
    </xf>
    <xf numFmtId="167" fontId="3" fillId="6" borderId="5" xfId="1" applyNumberFormat="1" applyFont="1" applyFill="1" applyBorder="1" applyAlignment="1">
      <alignment horizontal="center" vertical="center" wrapText="1"/>
    </xf>
    <xf numFmtId="167" fontId="10" fillId="6" borderId="1" xfId="1" applyNumberFormat="1" applyFont="1" applyFill="1" applyBorder="1" applyAlignment="1">
      <alignment vertical="center"/>
    </xf>
    <xf numFmtId="164" fontId="10" fillId="6" borderId="1" xfId="7" applyFont="1" applyFill="1" applyBorder="1" applyAlignment="1">
      <alignment vertical="center"/>
    </xf>
    <xf numFmtId="164" fontId="10" fillId="6" borderId="2" xfId="7" applyNumberFormat="1" applyFont="1" applyFill="1" applyBorder="1" applyAlignment="1">
      <alignment horizontal="center" vertical="center"/>
    </xf>
    <xf numFmtId="9" fontId="10" fillId="6" borderId="2" xfId="6" applyFont="1" applyFill="1" applyBorder="1" applyAlignment="1">
      <alignment horizontal="center" vertical="center"/>
    </xf>
    <xf numFmtId="164" fontId="10" fillId="6" borderId="1" xfId="7" applyNumberFormat="1" applyFont="1" applyFill="1" applyBorder="1" applyAlignment="1">
      <alignment vertical="center"/>
    </xf>
    <xf numFmtId="167" fontId="3" fillId="5" borderId="5" xfId="1" applyNumberFormat="1" applyFont="1" applyFill="1" applyBorder="1" applyAlignment="1">
      <alignment horizontal="center" vertical="center" wrapText="1"/>
    </xf>
    <xf numFmtId="164" fontId="5" fillId="19" borderId="1" xfId="7" applyFont="1" applyFill="1" applyBorder="1" applyAlignment="1">
      <alignment horizontal="right" vertical="center" wrapText="1"/>
    </xf>
    <xf numFmtId="9" fontId="5" fillId="19" borderId="1" xfId="6" applyFont="1" applyFill="1" applyBorder="1" applyAlignment="1">
      <alignment horizontal="right" vertical="center" wrapText="1"/>
    </xf>
    <xf numFmtId="1" fontId="5" fillId="19" borderId="1" xfId="1" applyNumberFormat="1" applyFont="1" applyFill="1" applyBorder="1" applyAlignment="1">
      <alignment horizontal="right" vertical="center" wrapText="1"/>
    </xf>
    <xf numFmtId="1" fontId="5" fillId="19" borderId="1" xfId="7" applyNumberFormat="1" applyFont="1" applyFill="1" applyBorder="1" applyAlignment="1">
      <alignment horizontal="right" vertical="center" wrapText="1"/>
    </xf>
    <xf numFmtId="0" fontId="5" fillId="19" borderId="1" xfId="6" applyNumberFormat="1" applyFont="1" applyFill="1" applyBorder="1" applyAlignment="1">
      <alignment horizontal="right" vertical="center" wrapText="1"/>
    </xf>
    <xf numFmtId="1" fontId="5" fillId="19" borderId="1" xfId="6" applyNumberFormat="1" applyFont="1" applyFill="1" applyBorder="1" applyAlignment="1">
      <alignment horizontal="right" vertical="center" wrapText="1"/>
    </xf>
    <xf numFmtId="2" fontId="5" fillId="19" borderId="1" xfId="7" applyNumberFormat="1" applyFont="1" applyFill="1" applyBorder="1" applyAlignment="1">
      <alignment horizontal="right" vertical="center" wrapText="1"/>
    </xf>
    <xf numFmtId="164" fontId="5" fillId="16" borderId="1" xfId="7" applyFont="1" applyFill="1" applyBorder="1" applyAlignment="1">
      <alignment horizontal="right" vertical="center" wrapText="1"/>
    </xf>
    <xf numFmtId="9" fontId="5" fillId="16" borderId="1" xfId="6" applyFont="1" applyFill="1" applyBorder="1" applyAlignment="1">
      <alignment horizontal="right" vertical="center" wrapText="1"/>
    </xf>
    <xf numFmtId="1" fontId="5" fillId="16" borderId="1" xfId="1" applyNumberFormat="1" applyFont="1" applyFill="1" applyBorder="1" applyAlignment="1">
      <alignment horizontal="right" vertical="center" wrapText="1"/>
    </xf>
    <xf numFmtId="9" fontId="9" fillId="5" borderId="4" xfId="0" applyNumberFormat="1" applyFont="1" applyFill="1" applyBorder="1" applyAlignment="1">
      <alignment horizontal="center" vertical="center" wrapText="1"/>
    </xf>
    <xf numFmtId="9" fontId="9" fillId="5" borderId="6" xfId="0" applyNumberFormat="1" applyFont="1" applyFill="1" applyBorder="1" applyAlignment="1">
      <alignment horizontal="center" vertical="center"/>
    </xf>
    <xf numFmtId="9" fontId="5" fillId="16" borderId="1" xfId="6" applyFont="1" applyFill="1" applyBorder="1" applyAlignment="1">
      <alignment horizontal="center" vertical="center" wrapText="1"/>
    </xf>
    <xf numFmtId="9" fontId="5" fillId="16" borderId="1" xfId="6" applyNumberFormat="1" applyFont="1" applyFill="1" applyBorder="1" applyAlignment="1">
      <alignment horizontal="center" vertical="center" wrapText="1"/>
    </xf>
    <xf numFmtId="9" fontId="9" fillId="5" borderId="4" xfId="6" applyFont="1" applyFill="1" applyBorder="1" applyAlignment="1">
      <alignment horizontal="center" vertical="center" wrapText="1"/>
    </xf>
    <xf numFmtId="9" fontId="9" fillId="5" borderId="6" xfId="6" applyFont="1" applyFill="1" applyBorder="1" applyAlignment="1">
      <alignment horizontal="center" vertical="center"/>
    </xf>
    <xf numFmtId="2" fontId="5" fillId="16" borderId="1" xfId="1" applyNumberFormat="1" applyFont="1" applyFill="1" applyBorder="1" applyAlignment="1">
      <alignment horizontal="right" vertical="center" wrapText="1"/>
    </xf>
    <xf numFmtId="0" fontId="3" fillId="16" borderId="5" xfId="0" applyFont="1" applyFill="1" applyBorder="1" applyAlignment="1">
      <alignment horizontal="center" vertical="center" wrapText="1"/>
    </xf>
    <xf numFmtId="9" fontId="10" fillId="6" borderId="1" xfId="6" applyNumberFormat="1" applyFont="1" applyFill="1" applyBorder="1" applyAlignment="1">
      <alignment horizontal="center" vertical="center"/>
    </xf>
    <xf numFmtId="9" fontId="10" fillId="23" borderId="1" xfId="6" applyFont="1" applyFill="1" applyBorder="1" applyAlignment="1">
      <alignment horizontal="center" vertical="center"/>
    </xf>
    <xf numFmtId="9" fontId="10" fillId="6" borderId="1" xfId="6" applyFont="1" applyFill="1" applyBorder="1" applyAlignment="1">
      <alignment horizontal="center" vertical="center"/>
    </xf>
    <xf numFmtId="10" fontId="10" fillId="6" borderId="1" xfId="6" applyNumberFormat="1" applyFont="1" applyFill="1" applyBorder="1" applyAlignment="1">
      <alignment horizontal="center" vertical="center"/>
    </xf>
    <xf numFmtId="1" fontId="10" fillId="6" borderId="5" xfId="1" applyNumberFormat="1" applyFont="1" applyFill="1" applyBorder="1" applyAlignment="1">
      <alignment horizontal="center" vertical="center"/>
    </xf>
    <xf numFmtId="1" fontId="10" fillId="6" borderId="5" xfId="1" applyNumberFormat="1" applyFont="1" applyFill="1" applyBorder="1" applyAlignment="1">
      <alignment horizontal="right" vertical="center"/>
    </xf>
    <xf numFmtId="3" fontId="5" fillId="19" borderId="1" xfId="6" applyNumberFormat="1" applyFont="1" applyFill="1" applyBorder="1" applyAlignment="1">
      <alignment horizontal="right" vertical="center" wrapText="1"/>
    </xf>
    <xf numFmtId="2" fontId="5" fillId="19" borderId="1" xfId="6" applyNumberFormat="1" applyFont="1" applyFill="1" applyBorder="1" applyAlignment="1">
      <alignment horizontal="right" vertical="center" wrapText="1"/>
    </xf>
    <xf numFmtId="0" fontId="5" fillId="0" borderId="0" xfId="0" applyFont="1" applyFill="1" applyBorder="1" applyAlignment="1">
      <alignment horizontal="center" vertical="center" wrapText="1"/>
    </xf>
    <xf numFmtId="0" fontId="3" fillId="20" borderId="5" xfId="0" applyFont="1" applyFill="1" applyBorder="1" applyAlignment="1">
      <alignment horizontal="center" vertical="center" wrapText="1"/>
    </xf>
    <xf numFmtId="167" fontId="3" fillId="2" borderId="5" xfId="1" applyNumberFormat="1" applyFont="1" applyFill="1" applyBorder="1" applyAlignment="1">
      <alignment horizontal="center" vertical="center" wrapText="1"/>
    </xf>
    <xf numFmtId="9" fontId="9" fillId="2" borderId="4" xfId="6" applyFont="1" applyFill="1" applyBorder="1" applyAlignment="1">
      <alignment horizontal="center" vertical="center" wrapText="1"/>
    </xf>
    <xf numFmtId="9" fontId="9" fillId="2" borderId="6" xfId="6" applyFont="1" applyFill="1" applyBorder="1" applyAlignment="1">
      <alignment horizontal="center" vertical="center"/>
    </xf>
    <xf numFmtId="164" fontId="5" fillId="20" borderId="1" xfId="7" applyFont="1" applyFill="1" applyBorder="1" applyAlignment="1">
      <alignment horizontal="right" vertical="center" wrapText="1"/>
    </xf>
    <xf numFmtId="9" fontId="5" fillId="20" borderId="1" xfId="6" applyFont="1" applyFill="1" applyBorder="1" applyAlignment="1">
      <alignment horizontal="center" vertical="center" wrapText="1"/>
    </xf>
    <xf numFmtId="1" fontId="5" fillId="20" borderId="1" xfId="1" applyNumberFormat="1" applyFont="1" applyFill="1" applyBorder="1" applyAlignment="1">
      <alignment horizontal="right" vertical="center" wrapText="1"/>
    </xf>
    <xf numFmtId="9" fontId="5" fillId="20" borderId="1" xfId="6" applyNumberFormat="1" applyFont="1" applyFill="1" applyBorder="1" applyAlignment="1">
      <alignment horizontal="center" vertical="center" wrapText="1"/>
    </xf>
    <xf numFmtId="9" fontId="5" fillId="20" borderId="1" xfId="6" applyFont="1" applyFill="1" applyBorder="1" applyAlignment="1">
      <alignment horizontal="right" vertical="center" wrapText="1"/>
    </xf>
    <xf numFmtId="2" fontId="5" fillId="20" borderId="1" xfId="1" applyNumberFormat="1" applyFont="1" applyFill="1" applyBorder="1" applyAlignment="1">
      <alignment horizontal="right" vertical="center" wrapText="1"/>
    </xf>
    <xf numFmtId="10" fontId="10" fillId="20" borderId="1" xfId="6" applyNumberFormat="1" applyFont="1" applyFill="1" applyBorder="1" applyAlignment="1">
      <alignment horizontal="center" vertical="center"/>
    </xf>
    <xf numFmtId="9" fontId="10" fillId="20" borderId="2" xfId="6" applyFont="1" applyFill="1" applyBorder="1" applyAlignment="1">
      <alignment horizontal="center" vertical="center"/>
    </xf>
    <xf numFmtId="9" fontId="9" fillId="19" borderId="21" xfId="6" applyFont="1" applyFill="1" applyBorder="1" applyAlignment="1">
      <alignment horizontal="center" vertical="center"/>
    </xf>
    <xf numFmtId="10" fontId="10" fillId="20" borderId="1" xfId="6" applyNumberFormat="1" applyFont="1" applyFill="1" applyBorder="1" applyAlignment="1">
      <alignment horizontal="center" vertical="center"/>
    </xf>
    <xf numFmtId="9" fontId="9" fillId="2" borderId="4" xfId="0" applyNumberFormat="1" applyFont="1" applyFill="1" applyBorder="1" applyAlignment="1">
      <alignment horizontal="center" vertical="center" wrapText="1"/>
    </xf>
    <xf numFmtId="4" fontId="9" fillId="2" borderId="18" xfId="0" applyNumberFormat="1" applyFont="1" applyFill="1" applyBorder="1" applyAlignment="1">
      <alignment horizontal="center" vertical="center"/>
    </xf>
    <xf numFmtId="4" fontId="9" fillId="2" borderId="19" xfId="0" applyNumberFormat="1" applyFont="1" applyFill="1" applyBorder="1" applyAlignment="1">
      <alignment horizontal="center" vertical="center"/>
    </xf>
    <xf numFmtId="0" fontId="7" fillId="3" borderId="6" xfId="4" applyFont="1" applyFill="1" applyBorder="1" applyAlignment="1">
      <alignment horizontal="center" vertical="center" wrapText="1"/>
    </xf>
    <xf numFmtId="164" fontId="10" fillId="20" borderId="2" xfId="7" applyNumberFormat="1" applyFont="1" applyFill="1" applyBorder="1" applyAlignment="1">
      <alignment horizontal="center" vertical="center"/>
    </xf>
    <xf numFmtId="0" fontId="10" fillId="20" borderId="1" xfId="0" applyFont="1" applyFill="1" applyBorder="1" applyAlignment="1">
      <alignment vertical="center" wrapText="1"/>
    </xf>
    <xf numFmtId="0" fontId="6" fillId="20" borderId="1" xfId="4" applyFont="1" applyFill="1" applyBorder="1" applyAlignment="1">
      <alignment horizontal="left" vertical="center" wrapText="1"/>
    </xf>
    <xf numFmtId="0" fontId="6" fillId="20" borderId="1" xfId="4" applyFont="1" applyFill="1" applyBorder="1" applyAlignment="1">
      <alignment vertical="center" wrapText="1"/>
    </xf>
    <xf numFmtId="0" fontId="5" fillId="20" borderId="1" xfId="4" applyFont="1" applyFill="1" applyBorder="1" applyAlignment="1">
      <alignment vertical="center" wrapText="1"/>
    </xf>
    <xf numFmtId="0" fontId="5" fillId="20" borderId="5" xfId="4" applyFont="1" applyFill="1" applyBorder="1" applyAlignment="1">
      <alignment vertical="center" wrapText="1"/>
    </xf>
    <xf numFmtId="0" fontId="5" fillId="20" borderId="1" xfId="0" applyFont="1" applyFill="1" applyBorder="1" applyAlignment="1">
      <alignment vertical="center" wrapText="1"/>
    </xf>
    <xf numFmtId="0" fontId="5" fillId="20" borderId="1" xfId="1" applyNumberFormat="1" applyFont="1" applyFill="1" applyBorder="1" applyAlignment="1">
      <alignment vertical="center" wrapText="1"/>
    </xf>
    <xf numFmtId="1" fontId="5" fillId="20" borderId="1" xfId="6" applyNumberFormat="1" applyFont="1" applyFill="1" applyBorder="1" applyAlignment="1">
      <alignment horizontal="right" vertical="center" wrapText="1"/>
    </xf>
    <xf numFmtId="164" fontId="5" fillId="3" borderId="1" xfId="7" applyFont="1" applyFill="1" applyBorder="1" applyAlignment="1">
      <alignment horizontal="right" vertical="center" wrapText="1"/>
    </xf>
    <xf numFmtId="9" fontId="5" fillId="3" borderId="1" xfId="6" applyFont="1" applyFill="1" applyBorder="1" applyAlignment="1">
      <alignment horizontal="right" vertical="center" wrapText="1"/>
    </xf>
    <xf numFmtId="1" fontId="5" fillId="3" borderId="1" xfId="6" applyNumberFormat="1" applyFont="1" applyFill="1" applyBorder="1" applyAlignment="1">
      <alignment horizontal="right" vertical="center" wrapText="1"/>
    </xf>
    <xf numFmtId="1" fontId="5" fillId="3" borderId="1" xfId="7" applyNumberFormat="1" applyFont="1" applyFill="1" applyBorder="1" applyAlignment="1">
      <alignment horizontal="right" vertical="center" wrapText="1"/>
    </xf>
    <xf numFmtId="168" fontId="5" fillId="3" borderId="1" xfId="7" applyNumberFormat="1" applyFont="1" applyFill="1" applyBorder="1" applyAlignment="1">
      <alignment horizontal="right" vertical="center" wrapText="1"/>
    </xf>
    <xf numFmtId="167" fontId="5" fillId="0" borderId="0" xfId="1" applyNumberFormat="1" applyFont="1" applyFill="1" applyBorder="1"/>
    <xf numFmtId="168" fontId="10" fillId="20" borderId="1" xfId="7" applyNumberFormat="1" applyFont="1" applyFill="1" applyBorder="1" applyAlignment="1">
      <alignment vertical="center"/>
    </xf>
    <xf numFmtId="166" fontId="10" fillId="20" borderId="1" xfId="1" applyNumberFormat="1" applyFont="1" applyFill="1" applyBorder="1" applyAlignment="1">
      <alignment vertical="center"/>
    </xf>
    <xf numFmtId="9" fontId="10" fillId="20" borderId="5" xfId="1" applyNumberFormat="1" applyFont="1" applyFill="1" applyBorder="1" applyAlignment="1">
      <alignment horizontal="center" vertical="center"/>
    </xf>
    <xf numFmtId="2" fontId="10" fillId="20" borderId="5" xfId="1" applyNumberFormat="1" applyFont="1" applyFill="1" applyBorder="1" applyAlignment="1">
      <alignment horizontal="right" vertical="center"/>
    </xf>
    <xf numFmtId="0" fontId="3" fillId="0" borderId="0" xfId="0" applyFont="1"/>
    <xf numFmtId="0" fontId="5" fillId="0" borderId="6" xfId="0" applyFont="1" applyFill="1" applyBorder="1"/>
    <xf numFmtId="0" fontId="9" fillId="24"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9" fontId="5" fillId="15" borderId="1" xfId="6" applyFont="1" applyFill="1" applyBorder="1" applyAlignment="1">
      <alignment horizontal="center" vertical="center" wrapText="1"/>
    </xf>
    <xf numFmtId="9" fontId="5" fillId="15" borderId="1" xfId="6" applyNumberFormat="1" applyFont="1" applyFill="1" applyBorder="1" applyAlignment="1">
      <alignment horizontal="center" vertical="center" wrapText="1"/>
    </xf>
    <xf numFmtId="167" fontId="3" fillId="25" borderId="5" xfId="1" applyNumberFormat="1" applyFont="1" applyFill="1" applyBorder="1" applyAlignment="1">
      <alignment horizontal="center" vertical="center" wrapText="1"/>
    </xf>
    <xf numFmtId="0" fontId="3" fillId="25" borderId="5" xfId="0" applyFont="1" applyFill="1" applyBorder="1" applyAlignment="1">
      <alignment horizontal="center" vertical="center" wrapText="1"/>
    </xf>
    <xf numFmtId="9" fontId="5" fillId="15" borderId="1" xfId="6" applyFont="1" applyFill="1" applyBorder="1" applyAlignment="1">
      <alignment horizontal="right" vertical="center" wrapText="1"/>
    </xf>
    <xf numFmtId="9" fontId="9" fillId="2" borderId="4" xfId="0" applyNumberFormat="1" applyFont="1" applyFill="1" applyBorder="1" applyAlignment="1">
      <alignment horizontal="center" vertical="center"/>
    </xf>
    <xf numFmtId="9" fontId="9" fillId="26" borderId="4" xfId="0" applyNumberFormat="1" applyFont="1" applyFill="1" applyBorder="1" applyAlignment="1">
      <alignment horizontal="center" vertical="center" wrapText="1"/>
    </xf>
    <xf numFmtId="9" fontId="5" fillId="15" borderId="2" xfId="6" applyFont="1" applyFill="1" applyBorder="1" applyAlignment="1">
      <alignment horizontal="right" vertical="center" wrapText="1"/>
    </xf>
    <xf numFmtId="9" fontId="9" fillId="26" borderId="6" xfId="0" applyNumberFormat="1" applyFont="1" applyFill="1" applyBorder="1" applyAlignment="1">
      <alignment horizontal="center" vertical="center"/>
    </xf>
    <xf numFmtId="10" fontId="10" fillId="15" borderId="1" xfId="6" applyNumberFormat="1" applyFont="1" applyFill="1" applyBorder="1" applyAlignment="1">
      <alignment horizontal="center" vertical="center"/>
    </xf>
    <xf numFmtId="9" fontId="10" fillId="15" borderId="2" xfId="6" applyFont="1" applyFill="1" applyBorder="1" applyAlignment="1">
      <alignment horizontal="center" vertical="center"/>
    </xf>
    <xf numFmtId="9" fontId="10" fillId="15" borderId="5" xfId="1" applyNumberFormat="1" applyFont="1" applyFill="1" applyBorder="1" applyAlignment="1">
      <alignment horizontal="center" vertical="center"/>
    </xf>
    <xf numFmtId="9" fontId="9" fillId="26" borderId="6" xfId="6" applyFont="1" applyFill="1" applyBorder="1" applyAlignment="1">
      <alignment horizontal="center" vertical="center"/>
    </xf>
    <xf numFmtId="0" fontId="7" fillId="25" borderId="6" xfId="4" applyFont="1" applyFill="1" applyBorder="1" applyAlignment="1">
      <alignment horizontal="center" vertical="center" wrapText="1"/>
    </xf>
    <xf numFmtId="0" fontId="6" fillId="15" borderId="1" xfId="4" applyFont="1" applyFill="1" applyBorder="1" applyAlignment="1">
      <alignment horizontal="left" vertical="center" wrapText="1"/>
    </xf>
    <xf numFmtId="0" fontId="5" fillId="15" borderId="1" xfId="4" applyFont="1" applyFill="1" applyBorder="1" applyAlignment="1">
      <alignment vertical="center" wrapText="1"/>
    </xf>
    <xf numFmtId="0" fontId="5" fillId="15" borderId="1" xfId="0" applyFont="1" applyFill="1" applyBorder="1" applyAlignment="1">
      <alignment vertical="center" wrapText="1"/>
    </xf>
    <xf numFmtId="0" fontId="5" fillId="15" borderId="1" xfId="1" applyNumberFormat="1" applyFont="1" applyFill="1" applyBorder="1" applyAlignment="1">
      <alignment vertical="center" wrapText="1"/>
    </xf>
    <xf numFmtId="9" fontId="9" fillId="26" borderId="4" xfId="6" applyFont="1" applyFill="1" applyBorder="1" applyAlignment="1">
      <alignment horizontal="center" vertical="center" wrapText="1"/>
    </xf>
    <xf numFmtId="164" fontId="5" fillId="15" borderId="1" xfId="7" applyFont="1" applyFill="1" applyBorder="1" applyAlignment="1">
      <alignment horizontal="right" vertical="center" wrapText="1"/>
    </xf>
    <xf numFmtId="1" fontId="5" fillId="15" borderId="1" xfId="1" applyNumberFormat="1" applyFont="1" applyFill="1" applyBorder="1" applyAlignment="1">
      <alignment horizontal="right" vertical="center" wrapText="1"/>
    </xf>
    <xf numFmtId="1" fontId="5" fillId="15" borderId="1" xfId="6" applyNumberFormat="1" applyFont="1" applyFill="1" applyBorder="1" applyAlignment="1">
      <alignment horizontal="right" vertical="center" wrapText="1"/>
    </xf>
    <xf numFmtId="164" fontId="5" fillId="15" borderId="2" xfId="7" applyFont="1" applyFill="1" applyBorder="1" applyAlignment="1">
      <alignment horizontal="right" vertical="center" wrapText="1"/>
    </xf>
    <xf numFmtId="164" fontId="5" fillId="15" borderId="5" xfId="7" applyFont="1" applyFill="1" applyBorder="1" applyAlignment="1">
      <alignment horizontal="right" vertical="center" wrapText="1"/>
    </xf>
    <xf numFmtId="1" fontId="5" fillId="15" borderId="1" xfId="7" applyNumberFormat="1" applyFont="1" applyFill="1" applyBorder="1" applyAlignment="1">
      <alignment horizontal="right" vertical="center" wrapText="1"/>
    </xf>
    <xf numFmtId="0" fontId="6" fillId="15" borderId="1" xfId="4" applyFont="1" applyFill="1" applyBorder="1" applyAlignment="1">
      <alignment vertical="center" wrapText="1"/>
    </xf>
    <xf numFmtId="0" fontId="5" fillId="15" borderId="5" xfId="4" applyFont="1" applyFill="1" applyBorder="1" applyAlignment="1">
      <alignment vertical="center" wrapText="1"/>
    </xf>
    <xf numFmtId="9" fontId="5" fillId="15" borderId="1" xfId="7" applyNumberFormat="1" applyFont="1" applyFill="1" applyBorder="1" applyAlignment="1">
      <alignment horizontal="right" vertical="center" wrapText="1"/>
    </xf>
    <xf numFmtId="9" fontId="5" fillId="15" borderId="1" xfId="6" applyNumberFormat="1" applyFont="1" applyFill="1" applyBorder="1" applyAlignment="1">
      <alignment horizontal="right" vertical="center" wrapText="1"/>
    </xf>
    <xf numFmtId="164" fontId="5" fillId="15" borderId="1" xfId="7" applyFont="1" applyFill="1" applyBorder="1" applyAlignment="1">
      <alignment horizontal="center" vertical="center" wrapText="1"/>
    </xf>
    <xf numFmtId="0" fontId="10" fillId="15" borderId="1" xfId="0" applyFont="1" applyFill="1" applyBorder="1" applyAlignment="1">
      <alignment horizontal="left" vertical="center" wrapText="1"/>
    </xf>
    <xf numFmtId="0" fontId="18" fillId="0" borderId="11" xfId="0" applyFont="1" applyBorder="1" applyAlignment="1">
      <alignment horizontal="right" vertical="center" wrapText="1"/>
    </xf>
    <xf numFmtId="0" fontId="18" fillId="0" borderId="12" xfId="0" applyFont="1" applyBorder="1" applyAlignment="1">
      <alignment horizontal="right" vertical="center" wrapText="1"/>
    </xf>
    <xf numFmtId="0" fontId="18" fillId="0" borderId="0" xfId="0" applyFont="1" applyBorder="1" applyAlignment="1">
      <alignment horizontal="right" vertical="center" wrapText="1"/>
    </xf>
    <xf numFmtId="0" fontId="18" fillId="0" borderId="14" xfId="0" applyFont="1" applyBorder="1" applyAlignment="1">
      <alignment horizontal="right" vertical="center" wrapText="1"/>
    </xf>
    <xf numFmtId="0" fontId="18" fillId="0" borderId="9" xfId="0" applyFont="1" applyBorder="1" applyAlignment="1">
      <alignment horizontal="right" vertical="center" wrapText="1"/>
    </xf>
    <xf numFmtId="0" fontId="18" fillId="0" borderId="16" xfId="0" applyFont="1" applyBorder="1" applyAlignment="1">
      <alignment horizontal="right" vertical="center" wrapText="1"/>
    </xf>
    <xf numFmtId="0" fontId="6" fillId="15" borderId="1" xfId="4" applyNumberFormat="1" applyFont="1" applyFill="1" applyBorder="1" applyAlignment="1">
      <alignment vertical="center" wrapText="1"/>
    </xf>
    <xf numFmtId="2" fontId="5" fillId="15" borderId="1" xfId="7" applyNumberFormat="1" applyFont="1" applyFill="1" applyBorder="1" applyAlignment="1">
      <alignment horizontal="right" vertical="center" wrapText="1"/>
    </xf>
    <xf numFmtId="2" fontId="5" fillId="15" borderId="1" xfId="6" applyNumberFormat="1" applyFont="1" applyFill="1" applyBorder="1" applyAlignment="1">
      <alignment horizontal="right" vertical="center" wrapText="1"/>
    </xf>
    <xf numFmtId="0" fontId="5" fillId="15" borderId="1" xfId="1" applyNumberFormat="1" applyFont="1" applyFill="1" applyBorder="1" applyAlignment="1">
      <alignment horizontal="left" vertical="center" wrapText="1"/>
    </xf>
    <xf numFmtId="164" fontId="10" fillId="15" borderId="1" xfId="7" applyFont="1" applyFill="1" applyBorder="1" applyAlignment="1">
      <alignment horizontal="center" vertical="center"/>
    </xf>
    <xf numFmtId="168" fontId="10" fillId="15" borderId="1" xfId="7" applyNumberFormat="1" applyFont="1" applyFill="1" applyBorder="1" applyAlignment="1">
      <alignment vertical="center"/>
    </xf>
    <xf numFmtId="164" fontId="10" fillId="15" borderId="2" xfId="7" applyNumberFormat="1" applyFont="1" applyFill="1" applyBorder="1" applyAlignment="1">
      <alignment horizontal="center" vertical="center"/>
    </xf>
    <xf numFmtId="168" fontId="10" fillId="15" borderId="1" xfId="7" applyNumberFormat="1" applyFont="1" applyFill="1" applyBorder="1" applyAlignment="1">
      <alignment horizontal="center" vertical="center"/>
    </xf>
    <xf numFmtId="168" fontId="10" fillId="15" borderId="1" xfId="7" applyNumberFormat="1" applyFont="1" applyFill="1" applyBorder="1" applyAlignment="1">
      <alignment horizontal="right" vertical="center"/>
    </xf>
    <xf numFmtId="1" fontId="10" fillId="15" borderId="5" xfId="1" applyNumberFormat="1" applyFont="1" applyFill="1" applyBorder="1" applyAlignment="1">
      <alignment horizontal="right" vertical="center"/>
    </xf>
    <xf numFmtId="4" fontId="9" fillId="26" borderId="18" xfId="0" applyNumberFormat="1" applyFont="1" applyFill="1" applyBorder="1" applyAlignment="1">
      <alignment horizontal="center" vertical="center"/>
    </xf>
    <xf numFmtId="4" fontId="9" fillId="26" borderId="19" xfId="0" applyNumberFormat="1" applyFont="1" applyFill="1" applyBorder="1" applyAlignment="1">
      <alignment horizontal="center" vertical="center"/>
    </xf>
    <xf numFmtId="0" fontId="9" fillId="10" borderId="6" xfId="0" applyFont="1" applyFill="1" applyBorder="1" applyAlignment="1">
      <alignment horizontal="center" vertical="center" wrapText="1"/>
    </xf>
    <xf numFmtId="164" fontId="5" fillId="0" borderId="0" xfId="0" applyNumberFormat="1" applyFont="1"/>
    <xf numFmtId="166" fontId="5" fillId="0" borderId="0" xfId="1" applyNumberFormat="1" applyFont="1"/>
    <xf numFmtId="168" fontId="10" fillId="15" borderId="2" xfId="7" applyNumberFormat="1" applyFont="1" applyFill="1" applyBorder="1" applyAlignment="1">
      <alignment horizontal="center" vertical="center" wrapText="1"/>
    </xf>
    <xf numFmtId="168" fontId="10" fillId="15" borderId="3" xfId="7" applyNumberFormat="1" applyFont="1" applyFill="1" applyBorder="1" applyAlignment="1">
      <alignment horizontal="center" vertical="center" wrapText="1"/>
    </xf>
    <xf numFmtId="168" fontId="10" fillId="15" borderId="5" xfId="7" applyNumberFormat="1" applyFont="1" applyFill="1" applyBorder="1" applyAlignment="1">
      <alignment horizontal="center" vertical="center" wrapText="1"/>
    </xf>
    <xf numFmtId="164" fontId="10" fillId="15" borderId="2" xfId="7" applyFont="1" applyFill="1" applyBorder="1" applyAlignment="1">
      <alignment horizontal="center" vertical="center" wrapText="1"/>
    </xf>
    <xf numFmtId="164" fontId="10" fillId="15" borderId="3" xfId="7" applyFont="1" applyFill="1" applyBorder="1" applyAlignment="1">
      <alignment horizontal="center" vertical="center" wrapText="1"/>
    </xf>
    <xf numFmtId="164" fontId="10" fillId="15" borderId="5" xfId="7" applyFont="1" applyFill="1" applyBorder="1" applyAlignment="1">
      <alignment horizontal="center" vertical="center" wrapText="1"/>
    </xf>
    <xf numFmtId="10" fontId="10" fillId="15" borderId="2" xfId="6" applyNumberFormat="1" applyFont="1" applyFill="1" applyBorder="1" applyAlignment="1">
      <alignment horizontal="center" vertical="center" wrapText="1"/>
    </xf>
    <xf numFmtId="10" fontId="10" fillId="15" borderId="3" xfId="6" applyNumberFormat="1" applyFont="1" applyFill="1" applyBorder="1" applyAlignment="1">
      <alignment horizontal="center" vertical="center" wrapText="1"/>
    </xf>
    <xf numFmtId="10" fontId="10" fillId="15" borderId="5" xfId="6" applyNumberFormat="1" applyFont="1" applyFill="1" applyBorder="1" applyAlignment="1">
      <alignment horizontal="center" vertical="center" wrapText="1"/>
    </xf>
    <xf numFmtId="0" fontId="18" fillId="0" borderId="10" xfId="0" applyFont="1" applyBorder="1" applyAlignment="1">
      <alignment horizontal="right" vertical="center" wrapText="1"/>
    </xf>
    <xf numFmtId="0" fontId="18" fillId="0" borderId="11" xfId="0" applyFont="1" applyBorder="1" applyAlignment="1">
      <alignment horizontal="right" vertical="center" wrapText="1"/>
    </xf>
    <xf numFmtId="0" fontId="18" fillId="0" borderId="13" xfId="0" applyFont="1" applyBorder="1" applyAlignment="1">
      <alignment horizontal="right" vertical="center" wrapText="1"/>
    </xf>
    <xf numFmtId="0" fontId="18" fillId="0" borderId="0" xfId="0" applyFont="1" applyBorder="1" applyAlignment="1">
      <alignment horizontal="right" vertical="center" wrapText="1"/>
    </xf>
    <xf numFmtId="0" fontId="18" fillId="0" borderId="15" xfId="0" applyFont="1" applyBorder="1" applyAlignment="1">
      <alignment horizontal="right" vertical="center" wrapText="1"/>
    </xf>
    <xf numFmtId="0" fontId="18" fillId="0" borderId="9" xfId="0" applyFont="1" applyBorder="1" applyAlignment="1">
      <alignment horizontal="right" vertical="center" wrapText="1"/>
    </xf>
    <xf numFmtId="166" fontId="10" fillId="15" borderId="1" xfId="1" applyNumberFormat="1" applyFont="1" applyFill="1" applyBorder="1" applyAlignment="1">
      <alignment horizontal="center" vertical="center" wrapText="1"/>
    </xf>
    <xf numFmtId="10" fontId="10" fillId="15" borderId="1" xfId="6" applyNumberFormat="1" applyFont="1" applyFill="1" applyBorder="1" applyAlignment="1">
      <alignment horizontal="center" vertical="center" wrapText="1"/>
    </xf>
    <xf numFmtId="10" fontId="10" fillId="15" borderId="1"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9" fontId="5" fillId="6" borderId="2" xfId="6" applyFont="1" applyFill="1" applyBorder="1" applyAlignment="1">
      <alignment horizontal="center" vertical="center" wrapText="1"/>
    </xf>
    <xf numFmtId="9" fontId="5" fillId="6" borderId="3" xfId="6" applyFont="1" applyFill="1" applyBorder="1" applyAlignment="1">
      <alignment horizontal="center" vertical="center" wrapText="1"/>
    </xf>
    <xf numFmtId="9" fontId="5" fillId="6" borderId="5" xfId="6" applyFont="1" applyFill="1" applyBorder="1" applyAlignment="1">
      <alignment horizontal="center" vertical="center" wrapText="1"/>
    </xf>
    <xf numFmtId="0" fontId="5" fillId="6" borderId="1" xfId="0"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9" fontId="5" fillId="7" borderId="2" xfId="6" applyFont="1" applyFill="1" applyBorder="1" applyAlignment="1">
      <alignment horizontal="center" vertical="center" wrapText="1"/>
    </xf>
    <xf numFmtId="9" fontId="5" fillId="7" borderId="5" xfId="6" applyFont="1" applyFill="1" applyBorder="1" applyAlignment="1">
      <alignment horizontal="center" vertical="center" wrapText="1"/>
    </xf>
    <xf numFmtId="9" fontId="5" fillId="15" borderId="2" xfId="6" applyNumberFormat="1" applyFont="1" applyFill="1" applyBorder="1" applyAlignment="1">
      <alignment horizontal="center" vertical="center" wrapText="1"/>
    </xf>
    <xf numFmtId="9" fontId="5" fillId="15" borderId="3" xfId="6" applyNumberFormat="1" applyFont="1" applyFill="1" applyBorder="1" applyAlignment="1">
      <alignment horizontal="center" vertical="center" wrapText="1"/>
    </xf>
    <xf numFmtId="9" fontId="5" fillId="15" borderId="5" xfId="6" applyNumberFormat="1" applyFont="1" applyFill="1" applyBorder="1" applyAlignment="1">
      <alignment horizontal="center" vertical="center" wrapText="1"/>
    </xf>
    <xf numFmtId="9" fontId="5" fillId="5" borderId="2" xfId="6" applyFont="1" applyFill="1" applyBorder="1" applyAlignment="1">
      <alignment horizontal="center" vertical="center" wrapText="1"/>
    </xf>
    <xf numFmtId="9" fontId="5" fillId="5" borderId="3" xfId="6" applyFont="1" applyFill="1" applyBorder="1" applyAlignment="1">
      <alignment horizontal="center" vertical="center" wrapText="1"/>
    </xf>
    <xf numFmtId="9" fontId="5" fillId="5" borderId="5" xfId="6" applyFont="1" applyFill="1" applyBorder="1" applyAlignment="1">
      <alignment horizontal="center" vertical="center" wrapText="1"/>
    </xf>
    <xf numFmtId="168" fontId="10" fillId="24" borderId="2" xfId="7" applyNumberFormat="1" applyFont="1" applyFill="1" applyBorder="1" applyAlignment="1">
      <alignment horizontal="center" vertical="center" wrapText="1"/>
    </xf>
    <xf numFmtId="168" fontId="10" fillId="24" borderId="5" xfId="7" applyNumberFormat="1" applyFont="1" applyFill="1" applyBorder="1" applyAlignment="1">
      <alignment horizontal="center" vertical="center" wrapText="1"/>
    </xf>
    <xf numFmtId="10" fontId="10" fillId="24" borderId="2" xfId="6" applyNumberFormat="1" applyFont="1" applyFill="1" applyBorder="1" applyAlignment="1">
      <alignment horizontal="center" vertical="center" wrapText="1"/>
    </xf>
    <xf numFmtId="10" fontId="10" fillId="24" borderId="5" xfId="7" applyNumberFormat="1" applyFont="1" applyFill="1" applyBorder="1" applyAlignment="1">
      <alignment horizontal="center" vertical="center" wrapText="1"/>
    </xf>
    <xf numFmtId="10" fontId="10" fillId="7" borderId="2" xfId="6" applyNumberFormat="1" applyFont="1" applyFill="1" applyBorder="1" applyAlignment="1">
      <alignment horizontal="center" vertical="center" wrapText="1"/>
    </xf>
    <xf numFmtId="10" fontId="10" fillId="7" borderId="5" xfId="6" applyNumberFormat="1" applyFont="1" applyFill="1" applyBorder="1" applyAlignment="1">
      <alignment horizontal="center" vertical="center" wrapText="1"/>
    </xf>
    <xf numFmtId="10" fontId="10" fillId="8" borderId="2" xfId="7" applyNumberFormat="1" applyFont="1" applyFill="1" applyBorder="1" applyAlignment="1">
      <alignment horizontal="center" vertical="center"/>
    </xf>
    <xf numFmtId="10" fontId="10" fillId="8" borderId="3" xfId="7" applyNumberFormat="1" applyFont="1" applyFill="1" applyBorder="1" applyAlignment="1">
      <alignment horizontal="center" vertical="center"/>
    </xf>
    <xf numFmtId="10" fontId="10" fillId="8" borderId="5" xfId="7" applyNumberFormat="1" applyFont="1" applyFill="1" applyBorder="1" applyAlignment="1">
      <alignment horizontal="center" vertical="center"/>
    </xf>
    <xf numFmtId="166" fontId="10" fillId="23" borderId="1" xfId="1" applyNumberFormat="1" applyFont="1" applyFill="1" applyBorder="1" applyAlignment="1">
      <alignment horizontal="center" vertical="center" wrapText="1"/>
    </xf>
    <xf numFmtId="167" fontId="10" fillId="9" borderId="2" xfId="1" applyNumberFormat="1" applyFont="1" applyFill="1" applyBorder="1" applyAlignment="1">
      <alignment horizontal="center" vertical="center" wrapText="1"/>
    </xf>
    <xf numFmtId="167" fontId="10" fillId="9" borderId="3" xfId="1" applyNumberFormat="1" applyFont="1" applyFill="1" applyBorder="1" applyAlignment="1">
      <alignment horizontal="center" vertical="center" wrapText="1"/>
    </xf>
    <xf numFmtId="167" fontId="10" fillId="9" borderId="5" xfId="1" applyNumberFormat="1" applyFont="1" applyFill="1" applyBorder="1" applyAlignment="1">
      <alignment horizontal="center" vertical="center" wrapText="1"/>
    </xf>
    <xf numFmtId="167" fontId="10" fillId="5" borderId="2" xfId="1" applyNumberFormat="1" applyFont="1" applyFill="1" applyBorder="1" applyAlignment="1">
      <alignment horizontal="center" vertical="center" wrapText="1"/>
    </xf>
    <xf numFmtId="167" fontId="10" fillId="5" borderId="5" xfId="1" applyNumberFormat="1" applyFont="1" applyFill="1" applyBorder="1" applyAlignment="1">
      <alignment horizontal="center" vertical="center" wrapText="1"/>
    </xf>
    <xf numFmtId="164" fontId="10" fillId="10" borderId="2" xfId="7" applyFont="1" applyFill="1" applyBorder="1" applyAlignment="1">
      <alignment horizontal="center" vertical="center"/>
    </xf>
    <xf numFmtId="164" fontId="10" fillId="10" borderId="3" xfId="7" applyFont="1" applyFill="1" applyBorder="1" applyAlignment="1">
      <alignment horizontal="center" vertical="center"/>
    </xf>
    <xf numFmtId="164" fontId="10" fillId="10" borderId="5" xfId="7" applyFont="1" applyFill="1" applyBorder="1" applyAlignment="1">
      <alignment horizontal="center" vertical="center"/>
    </xf>
    <xf numFmtId="9" fontId="10" fillId="23" borderId="1" xfId="6" applyFont="1" applyFill="1" applyBorder="1" applyAlignment="1">
      <alignment horizontal="center" vertical="center" wrapText="1"/>
    </xf>
    <xf numFmtId="9" fontId="10" fillId="23" borderId="2" xfId="6" applyFont="1" applyFill="1" applyBorder="1" applyAlignment="1">
      <alignment horizontal="center" vertical="center"/>
    </xf>
    <xf numFmtId="164" fontId="10" fillId="23" borderId="3" xfId="7" applyFont="1" applyFill="1" applyBorder="1" applyAlignment="1">
      <alignment horizontal="center" vertical="center"/>
    </xf>
    <xf numFmtId="164" fontId="10" fillId="23" borderId="5" xfId="7" applyFont="1" applyFill="1" applyBorder="1" applyAlignment="1">
      <alignment horizontal="center" vertical="center"/>
    </xf>
    <xf numFmtId="164" fontId="10" fillId="23" borderId="3" xfId="7" applyNumberFormat="1" applyFont="1" applyFill="1" applyBorder="1" applyAlignment="1">
      <alignment horizontal="center" vertical="center"/>
    </xf>
    <xf numFmtId="164" fontId="10" fillId="23" borderId="5" xfId="7" applyNumberFormat="1" applyFont="1" applyFill="1" applyBorder="1" applyAlignment="1">
      <alignment horizontal="center" vertical="center"/>
    </xf>
    <xf numFmtId="9" fontId="10" fillId="23" borderId="1" xfId="6" applyFont="1" applyFill="1" applyBorder="1" applyAlignment="1">
      <alignment horizontal="center" vertical="center"/>
    </xf>
    <xf numFmtId="164" fontId="10" fillId="23" borderId="1" xfId="7" applyFont="1" applyFill="1" applyBorder="1" applyAlignment="1">
      <alignment horizontal="center" vertical="center"/>
    </xf>
    <xf numFmtId="164" fontId="10" fillId="6" borderId="2" xfId="7" applyFont="1" applyFill="1" applyBorder="1" applyAlignment="1">
      <alignment horizontal="center" vertical="center"/>
    </xf>
    <xf numFmtId="164" fontId="10" fillId="6" borderId="3" xfId="7" applyFont="1" applyFill="1" applyBorder="1" applyAlignment="1">
      <alignment horizontal="center" vertical="center"/>
    </xf>
    <xf numFmtId="164" fontId="10" fillId="6" borderId="5" xfId="7" applyFont="1" applyFill="1" applyBorder="1" applyAlignment="1">
      <alignment horizontal="center" vertical="center"/>
    </xf>
    <xf numFmtId="164" fontId="10" fillId="23" borderId="2" xfId="7" applyFont="1" applyFill="1" applyBorder="1" applyAlignment="1">
      <alignment horizontal="center" vertical="center"/>
    </xf>
    <xf numFmtId="164" fontId="10" fillId="23" borderId="2" xfId="7" applyNumberFormat="1" applyFont="1" applyFill="1" applyBorder="1" applyAlignment="1">
      <alignment horizontal="center" vertical="center"/>
    </xf>
    <xf numFmtId="164" fontId="10" fillId="10" borderId="2" xfId="7" applyNumberFormat="1" applyFont="1" applyFill="1" applyBorder="1" applyAlignment="1">
      <alignment horizontal="center" vertical="center"/>
    </xf>
    <xf numFmtId="164" fontId="10" fillId="10" borderId="3" xfId="7" applyNumberFormat="1" applyFont="1" applyFill="1" applyBorder="1" applyAlignment="1">
      <alignment horizontal="center" vertical="center"/>
    </xf>
    <xf numFmtId="164" fontId="10" fillId="10" borderId="5" xfId="7" applyNumberFormat="1" applyFont="1" applyFill="1" applyBorder="1" applyAlignment="1">
      <alignment horizontal="center" vertical="center"/>
    </xf>
    <xf numFmtId="164" fontId="10" fillId="8" borderId="1" xfId="7" applyFont="1" applyFill="1" applyBorder="1" applyAlignment="1">
      <alignment horizontal="center" vertical="center"/>
    </xf>
    <xf numFmtId="167" fontId="11" fillId="8" borderId="2" xfId="1" applyNumberFormat="1" applyFont="1" applyFill="1" applyBorder="1" applyAlignment="1">
      <alignment horizontal="center" vertical="center"/>
    </xf>
    <xf numFmtId="167" fontId="11" fillId="8" borderId="3" xfId="1" applyNumberFormat="1" applyFont="1" applyFill="1" applyBorder="1" applyAlignment="1">
      <alignment horizontal="center" vertical="center"/>
    </xf>
    <xf numFmtId="167" fontId="11" fillId="8" borderId="5" xfId="1" applyNumberFormat="1" applyFont="1" applyFill="1" applyBorder="1" applyAlignment="1">
      <alignment horizontal="center" vertical="center"/>
    </xf>
    <xf numFmtId="10" fontId="11" fillId="8" borderId="2" xfId="6" applyNumberFormat="1" applyFont="1" applyFill="1" applyBorder="1" applyAlignment="1">
      <alignment horizontal="center" vertical="center"/>
    </xf>
    <xf numFmtId="10" fontId="11" fillId="8" borderId="3" xfId="6" applyNumberFormat="1" applyFont="1" applyFill="1" applyBorder="1" applyAlignment="1">
      <alignment horizontal="center" vertical="center"/>
    </xf>
    <xf numFmtId="10" fontId="11" fillId="8" borderId="5" xfId="6" applyNumberFormat="1" applyFont="1" applyFill="1" applyBorder="1" applyAlignment="1">
      <alignment horizontal="center" vertical="center"/>
    </xf>
    <xf numFmtId="166" fontId="10" fillId="5" borderId="1" xfId="1"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9" fontId="5" fillId="16" borderId="2" xfId="6" applyFont="1" applyFill="1" applyBorder="1" applyAlignment="1">
      <alignment horizontal="center" vertical="center" wrapText="1"/>
    </xf>
    <xf numFmtId="9" fontId="5" fillId="16" borderId="3" xfId="6" applyFont="1" applyFill="1" applyBorder="1" applyAlignment="1">
      <alignment horizontal="center" vertical="center" wrapText="1"/>
    </xf>
    <xf numFmtId="9" fontId="5" fillId="16" borderId="5" xfId="6" applyFont="1" applyFill="1" applyBorder="1" applyAlignment="1">
      <alignment horizontal="center" vertical="center" wrapText="1"/>
    </xf>
    <xf numFmtId="3" fontId="5" fillId="11"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9" fontId="5" fillId="7" borderId="3" xfId="6" applyFont="1" applyFill="1" applyBorder="1" applyAlignment="1">
      <alignment horizontal="center" vertical="center" wrapText="1"/>
    </xf>
    <xf numFmtId="9" fontId="5" fillId="14" borderId="2" xfId="6" applyFont="1" applyFill="1" applyBorder="1" applyAlignment="1">
      <alignment horizontal="center" vertical="center" wrapText="1"/>
    </xf>
    <xf numFmtId="9" fontId="5" fillId="14" borderId="3" xfId="6" applyFont="1" applyFill="1" applyBorder="1" applyAlignment="1">
      <alignment horizontal="center" vertical="center" wrapText="1"/>
    </xf>
    <xf numFmtId="9" fontId="5" fillId="14" borderId="5" xfId="6" applyFont="1" applyFill="1" applyBorder="1" applyAlignment="1">
      <alignment horizontal="center" vertical="center" wrapText="1"/>
    </xf>
    <xf numFmtId="167" fontId="11" fillId="8" borderId="1" xfId="1" applyNumberFormat="1" applyFont="1" applyFill="1" applyBorder="1" applyAlignment="1">
      <alignment horizontal="center" vertical="center"/>
    </xf>
    <xf numFmtId="3" fontId="5" fillId="8" borderId="1" xfId="0" applyNumberFormat="1" applyFont="1" applyFill="1" applyBorder="1" applyAlignment="1">
      <alignment horizontal="center" vertical="center" wrapText="1"/>
    </xf>
    <xf numFmtId="167" fontId="10" fillId="11" borderId="2" xfId="1" applyNumberFormat="1" applyFont="1" applyFill="1" applyBorder="1" applyAlignment="1">
      <alignment horizontal="center" vertical="center" wrapText="1"/>
    </xf>
    <xf numFmtId="167" fontId="10" fillId="11" borderId="3" xfId="1" applyNumberFormat="1" applyFont="1" applyFill="1" applyBorder="1" applyAlignment="1">
      <alignment horizontal="center" vertical="center" wrapText="1"/>
    </xf>
    <xf numFmtId="167" fontId="10" fillId="11" borderId="5" xfId="1" applyNumberFormat="1" applyFont="1" applyFill="1" applyBorder="1" applyAlignment="1">
      <alignment horizontal="center" vertical="center" wrapText="1"/>
    </xf>
    <xf numFmtId="10" fontId="10" fillId="11" borderId="2" xfId="6" applyNumberFormat="1" applyFont="1" applyFill="1" applyBorder="1" applyAlignment="1">
      <alignment horizontal="center" vertical="center" wrapText="1"/>
    </xf>
    <xf numFmtId="10" fontId="10" fillId="11" borderId="3" xfId="6" applyNumberFormat="1" applyFont="1" applyFill="1" applyBorder="1" applyAlignment="1">
      <alignment horizontal="center" vertical="center" wrapText="1"/>
    </xf>
    <xf numFmtId="164" fontId="10" fillId="10" borderId="2" xfId="7" applyFont="1" applyFill="1" applyBorder="1" applyAlignment="1">
      <alignment horizontal="right" vertical="center" wrapText="1"/>
    </xf>
    <xf numFmtId="164" fontId="10" fillId="10" borderId="3" xfId="7" applyFont="1" applyFill="1" applyBorder="1" applyAlignment="1">
      <alignment horizontal="right" vertical="center" wrapText="1"/>
    </xf>
    <xf numFmtId="164" fontId="10" fillId="10" borderId="5" xfId="7" applyFont="1" applyFill="1" applyBorder="1" applyAlignment="1">
      <alignment horizontal="right" vertical="center" wrapText="1"/>
    </xf>
    <xf numFmtId="164" fontId="11" fillId="8" borderId="2" xfId="7" applyFont="1" applyFill="1" applyBorder="1" applyAlignment="1">
      <alignment horizontal="right" vertical="center"/>
    </xf>
    <xf numFmtId="164" fontId="11" fillId="8" borderId="3" xfId="7" applyFont="1" applyFill="1" applyBorder="1" applyAlignment="1">
      <alignment horizontal="right" vertical="center"/>
    </xf>
    <xf numFmtId="164" fontId="11" fillId="8" borderId="5" xfId="7" applyFont="1" applyFill="1" applyBorder="1" applyAlignment="1">
      <alignment horizontal="right" vertical="center"/>
    </xf>
    <xf numFmtId="164" fontId="10" fillId="4" borderId="2" xfId="7" applyFont="1" applyFill="1" applyBorder="1" applyAlignment="1">
      <alignment horizontal="center" vertical="center" wrapText="1"/>
    </xf>
    <xf numFmtId="164" fontId="10" fillId="4" borderId="3" xfId="7" applyFont="1" applyFill="1" applyBorder="1" applyAlignment="1">
      <alignment horizontal="center" vertical="center" wrapText="1"/>
    </xf>
    <xf numFmtId="164" fontId="10" fillId="4" borderId="7" xfId="7" applyFont="1" applyFill="1" applyBorder="1" applyAlignment="1">
      <alignment horizontal="center" vertical="center" wrapText="1"/>
    </xf>
    <xf numFmtId="10" fontId="10" fillId="4" borderId="2" xfId="6" applyNumberFormat="1" applyFont="1" applyFill="1" applyBorder="1" applyAlignment="1">
      <alignment horizontal="center" vertical="center" wrapText="1"/>
    </xf>
    <xf numFmtId="10" fontId="10" fillId="4" borderId="3" xfId="6" applyNumberFormat="1" applyFont="1" applyFill="1" applyBorder="1" applyAlignment="1">
      <alignment horizontal="center" vertical="center" wrapText="1"/>
    </xf>
    <xf numFmtId="167" fontId="10" fillId="8" borderId="1" xfId="1" applyNumberFormat="1" applyFont="1" applyFill="1" applyBorder="1" applyAlignment="1">
      <alignment horizontal="center" vertical="center"/>
    </xf>
    <xf numFmtId="164" fontId="10" fillId="11" borderId="2" xfId="7" applyFont="1" applyFill="1" applyBorder="1" applyAlignment="1">
      <alignment horizontal="center" vertical="center" wrapText="1"/>
    </xf>
    <xf numFmtId="164" fontId="10" fillId="11" borderId="3" xfId="7" applyFont="1" applyFill="1" applyBorder="1" applyAlignment="1">
      <alignment horizontal="center" vertical="center" wrapText="1"/>
    </xf>
    <xf numFmtId="164" fontId="10" fillId="11" borderId="7" xfId="7" applyFont="1" applyFill="1" applyBorder="1" applyAlignment="1">
      <alignment horizontal="center" vertical="center" wrapText="1"/>
    </xf>
    <xf numFmtId="164" fontId="10" fillId="11" borderId="2" xfId="7" applyFont="1" applyFill="1" applyBorder="1" applyAlignment="1">
      <alignment horizontal="right" vertical="center" wrapText="1"/>
    </xf>
    <xf numFmtId="164" fontId="10" fillId="11" borderId="3" xfId="7" applyFont="1" applyFill="1" applyBorder="1" applyAlignment="1">
      <alignment horizontal="right" vertical="center" wrapText="1"/>
    </xf>
    <xf numFmtId="164" fontId="10" fillId="11" borderId="5" xfId="7" applyFont="1" applyFill="1" applyBorder="1" applyAlignment="1">
      <alignment horizontal="right" vertical="center" wrapText="1"/>
    </xf>
    <xf numFmtId="167" fontId="10" fillId="10" borderId="2" xfId="1" applyNumberFormat="1" applyFont="1" applyFill="1" applyBorder="1" applyAlignment="1">
      <alignment horizontal="center" vertical="center" wrapText="1"/>
    </xf>
    <xf numFmtId="167" fontId="10" fillId="10" borderId="3" xfId="1" applyNumberFormat="1" applyFont="1" applyFill="1" applyBorder="1" applyAlignment="1">
      <alignment horizontal="center" vertical="center" wrapText="1"/>
    </xf>
    <xf numFmtId="167" fontId="10" fillId="10" borderId="5" xfId="1" applyNumberFormat="1" applyFont="1" applyFill="1" applyBorder="1" applyAlignment="1">
      <alignment horizontal="center" vertical="center" wrapText="1"/>
    </xf>
    <xf numFmtId="0" fontId="6" fillId="6" borderId="5" xfId="4" applyFont="1" applyFill="1" applyBorder="1" applyAlignment="1">
      <alignment vertical="center" wrapText="1"/>
    </xf>
    <xf numFmtId="0" fontId="6" fillId="6" borderId="1" xfId="4" applyFont="1" applyFill="1" applyBorder="1" applyAlignment="1">
      <alignment vertical="center" wrapText="1"/>
    </xf>
    <xf numFmtId="0" fontId="5" fillId="6" borderId="2" xfId="4" applyFont="1" applyFill="1" applyBorder="1" applyAlignment="1">
      <alignment vertical="center" wrapText="1"/>
    </xf>
    <xf numFmtId="0" fontId="5" fillId="6" borderId="3" xfId="4" applyFont="1" applyFill="1" applyBorder="1" applyAlignment="1">
      <alignment vertical="center" wrapText="1"/>
    </xf>
    <xf numFmtId="0" fontId="5" fillId="6" borderId="5" xfId="4" applyFont="1" applyFill="1" applyBorder="1" applyAlignment="1">
      <alignment vertical="center" wrapText="1"/>
    </xf>
    <xf numFmtId="1" fontId="5" fillId="6" borderId="1" xfId="1" applyNumberFormat="1" applyFont="1" applyFill="1" applyBorder="1" applyAlignment="1">
      <alignment vertical="center" wrapText="1"/>
    </xf>
    <xf numFmtId="0" fontId="20" fillId="6" borderId="2" xfId="0" applyFont="1" applyFill="1" applyBorder="1" applyAlignment="1">
      <alignment horizontal="left" vertical="top" wrapText="1"/>
    </xf>
    <xf numFmtId="0" fontId="19" fillId="6" borderId="5" xfId="0" applyFont="1" applyFill="1" applyBorder="1" applyAlignment="1">
      <alignment horizontal="left" vertical="top" wrapText="1"/>
    </xf>
    <xf numFmtId="0" fontId="5" fillId="8" borderId="2" xfId="1" applyNumberFormat="1" applyFont="1" applyFill="1" applyBorder="1" applyAlignment="1">
      <alignment vertical="center" wrapText="1"/>
    </xf>
    <xf numFmtId="0" fontId="5" fillId="8" borderId="5" xfId="1" applyNumberFormat="1" applyFont="1" applyFill="1" applyBorder="1" applyAlignment="1">
      <alignment vertical="center" wrapText="1"/>
    </xf>
    <xf numFmtId="0" fontId="6" fillId="5" borderId="1" xfId="4" applyFont="1" applyFill="1" applyBorder="1" applyAlignment="1">
      <alignment vertical="center" wrapText="1"/>
    </xf>
    <xf numFmtId="0" fontId="6" fillId="5" borderId="1" xfId="4" applyFont="1" applyFill="1" applyBorder="1" applyAlignment="1">
      <alignment horizontal="left" vertical="center" wrapText="1"/>
    </xf>
    <xf numFmtId="0" fontId="6" fillId="10" borderId="1" xfId="4" applyFont="1" applyFill="1" applyBorder="1" applyAlignment="1">
      <alignment horizontal="left" vertical="center" wrapText="1"/>
    </xf>
    <xf numFmtId="0" fontId="6" fillId="18" borderId="5" xfId="4" applyFont="1" applyFill="1" applyBorder="1" applyAlignment="1">
      <alignment vertical="center" wrapText="1"/>
    </xf>
    <xf numFmtId="0" fontId="6" fillId="18" borderId="1" xfId="4" applyFont="1" applyFill="1" applyBorder="1" applyAlignment="1">
      <alignment vertical="center" wrapText="1"/>
    </xf>
    <xf numFmtId="0" fontId="5" fillId="18" borderId="2" xfId="4" applyFont="1" applyFill="1" applyBorder="1" applyAlignment="1">
      <alignment vertical="center" wrapText="1"/>
    </xf>
    <xf numFmtId="0" fontId="5" fillId="18" borderId="3" xfId="4" applyFont="1" applyFill="1" applyBorder="1" applyAlignment="1">
      <alignment vertical="center" wrapText="1"/>
    </xf>
    <xf numFmtId="0" fontId="5" fillId="18" borderId="5" xfId="4" applyFont="1" applyFill="1" applyBorder="1" applyAlignment="1">
      <alignment vertical="center" wrapText="1"/>
    </xf>
    <xf numFmtId="1" fontId="5" fillId="18" borderId="1" xfId="1" applyNumberFormat="1" applyFont="1" applyFill="1" applyBorder="1" applyAlignment="1">
      <alignment vertical="center" wrapText="1"/>
    </xf>
    <xf numFmtId="0" fontId="20" fillId="18" borderId="2" xfId="0" applyFont="1" applyFill="1" applyBorder="1" applyAlignment="1">
      <alignment horizontal="left" vertical="top" wrapText="1"/>
    </xf>
    <xf numFmtId="0" fontId="19" fillId="18" borderId="5" xfId="0" applyFont="1" applyFill="1" applyBorder="1" applyAlignment="1">
      <alignment horizontal="left" vertical="top" wrapText="1"/>
    </xf>
    <xf numFmtId="0" fontId="6" fillId="8" borderId="5" xfId="4" applyFont="1" applyFill="1" applyBorder="1" applyAlignment="1">
      <alignment vertical="center" wrapText="1"/>
    </xf>
    <xf numFmtId="0" fontId="6" fillId="8" borderId="1" xfId="4" applyFont="1" applyFill="1" applyBorder="1" applyAlignment="1">
      <alignment vertical="center" wrapText="1"/>
    </xf>
    <xf numFmtId="0" fontId="5" fillId="10" borderId="2" xfId="4" applyFont="1" applyFill="1" applyBorder="1" applyAlignment="1">
      <alignment vertical="center" wrapText="1"/>
    </xf>
    <xf numFmtId="0" fontId="5" fillId="10" borderId="3" xfId="4" applyFont="1" applyFill="1" applyBorder="1" applyAlignment="1">
      <alignment vertical="center" wrapText="1"/>
    </xf>
    <xf numFmtId="0" fontId="5" fillId="10" borderId="5" xfId="4" applyFont="1" applyFill="1" applyBorder="1" applyAlignment="1">
      <alignment vertical="center" wrapText="1"/>
    </xf>
    <xf numFmtId="0" fontId="6" fillId="10" borderId="1" xfId="4" applyFont="1" applyFill="1" applyBorder="1" applyAlignment="1">
      <alignment vertical="center" wrapText="1"/>
    </xf>
    <xf numFmtId="1" fontId="5" fillId="10" borderId="1" xfId="1" applyNumberFormat="1" applyFont="1" applyFill="1" applyBorder="1" applyAlignment="1">
      <alignment vertical="center" wrapText="1"/>
    </xf>
    <xf numFmtId="0" fontId="20" fillId="10" borderId="2" xfId="0" applyFont="1" applyFill="1" applyBorder="1" applyAlignment="1">
      <alignment horizontal="left" vertical="top" wrapText="1"/>
    </xf>
    <xf numFmtId="0" fontId="19" fillId="10" borderId="5" xfId="0" applyFont="1" applyFill="1" applyBorder="1" applyAlignment="1">
      <alignment horizontal="left" vertical="top" wrapText="1"/>
    </xf>
    <xf numFmtId="0" fontId="5" fillId="9" borderId="2" xfId="4" applyFont="1" applyFill="1" applyBorder="1" applyAlignment="1">
      <alignment vertical="center" wrapText="1"/>
    </xf>
    <xf numFmtId="0" fontId="5" fillId="9" borderId="3" xfId="4" applyFont="1" applyFill="1" applyBorder="1" applyAlignment="1">
      <alignment vertical="center" wrapText="1"/>
    </xf>
    <xf numFmtId="0" fontId="5" fillId="9" borderId="5" xfId="4" applyFont="1" applyFill="1" applyBorder="1" applyAlignment="1">
      <alignment vertical="center" wrapText="1"/>
    </xf>
    <xf numFmtId="1" fontId="5" fillId="8" borderId="1" xfId="1" applyNumberFormat="1" applyFont="1" applyFill="1" applyBorder="1" applyAlignment="1">
      <alignment horizontal="left" vertical="center" wrapText="1"/>
    </xf>
    <xf numFmtId="0" fontId="5" fillId="8" borderId="1" xfId="1" applyNumberFormat="1" applyFont="1" applyFill="1" applyBorder="1" applyAlignment="1">
      <alignment horizontal="left" vertical="center" wrapText="1"/>
    </xf>
    <xf numFmtId="167" fontId="10" fillId="23" borderId="2" xfId="1" applyNumberFormat="1" applyFont="1" applyFill="1" applyBorder="1" applyAlignment="1">
      <alignment horizontal="center" vertical="center" wrapText="1"/>
    </xf>
    <xf numFmtId="167" fontId="10" fillId="23" borderId="3" xfId="1" applyNumberFormat="1" applyFont="1" applyFill="1" applyBorder="1" applyAlignment="1">
      <alignment horizontal="center" vertical="center" wrapText="1"/>
    </xf>
    <xf numFmtId="167" fontId="10" fillId="23" borderId="5" xfId="1" applyNumberFormat="1" applyFont="1" applyFill="1" applyBorder="1" applyAlignment="1">
      <alignment horizontal="center" vertical="center" wrapText="1"/>
    </xf>
    <xf numFmtId="164" fontId="10" fillId="23" borderId="2" xfId="7" applyFont="1" applyFill="1" applyBorder="1" applyAlignment="1">
      <alignment horizontal="center" vertical="center" wrapText="1"/>
    </xf>
    <xf numFmtId="164" fontId="10" fillId="23" borderId="5" xfId="7" applyFont="1" applyFill="1" applyBorder="1" applyAlignment="1">
      <alignment horizontal="center" vertical="center" wrapText="1"/>
    </xf>
    <xf numFmtId="166" fontId="10" fillId="19" borderId="1" xfId="1" applyNumberFormat="1" applyFont="1" applyFill="1" applyBorder="1" applyAlignment="1">
      <alignment horizontal="center" vertical="center" wrapText="1"/>
    </xf>
    <xf numFmtId="167" fontId="10" fillId="19" borderId="2" xfId="1" applyNumberFormat="1" applyFont="1" applyFill="1" applyBorder="1" applyAlignment="1">
      <alignment horizontal="center" vertical="center" wrapText="1"/>
    </xf>
    <xf numFmtId="164" fontId="10" fillId="19" borderId="2" xfId="7" applyFont="1" applyFill="1" applyBorder="1" applyAlignment="1">
      <alignment horizontal="center" vertical="center" wrapText="1"/>
    </xf>
    <xf numFmtId="167" fontId="10" fillId="23" borderId="1" xfId="1" applyNumberFormat="1" applyFont="1" applyFill="1" applyBorder="1" applyAlignment="1">
      <alignment horizontal="center" vertical="center"/>
    </xf>
    <xf numFmtId="10" fontId="10" fillId="9" borderId="2" xfId="6" applyNumberFormat="1" applyFont="1" applyFill="1" applyBorder="1" applyAlignment="1">
      <alignment horizontal="center" vertical="center"/>
    </xf>
    <xf numFmtId="10" fontId="10" fillId="9" borderId="3" xfId="6" applyNumberFormat="1" applyFont="1" applyFill="1" applyBorder="1" applyAlignment="1">
      <alignment horizontal="center" vertical="center"/>
    </xf>
    <xf numFmtId="10" fontId="10" fillId="9" borderId="5" xfId="6" applyNumberFormat="1" applyFont="1" applyFill="1" applyBorder="1" applyAlignment="1">
      <alignment horizontal="center" vertical="center"/>
    </xf>
    <xf numFmtId="10" fontId="11" fillId="10" borderId="2" xfId="6" applyNumberFormat="1" applyFont="1" applyFill="1" applyBorder="1" applyAlignment="1">
      <alignment horizontal="center" vertical="center"/>
    </xf>
    <xf numFmtId="10" fontId="11" fillId="10" borderId="3" xfId="6" applyNumberFormat="1" applyFont="1" applyFill="1" applyBorder="1" applyAlignment="1">
      <alignment horizontal="center" vertical="center"/>
    </xf>
    <xf numFmtId="10" fontId="11" fillId="10" borderId="5" xfId="6" applyNumberFormat="1" applyFont="1" applyFill="1" applyBorder="1" applyAlignment="1">
      <alignment horizontal="center" vertical="center"/>
    </xf>
    <xf numFmtId="0" fontId="5" fillId="0" borderId="0" xfId="0" applyFont="1" applyFill="1" applyBorder="1" applyAlignment="1">
      <alignment horizontal="center" vertical="center" wrapText="1"/>
    </xf>
    <xf numFmtId="167" fontId="10" fillId="11" borderId="1" xfId="1"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9" fontId="5" fillId="8" borderId="2" xfId="6" applyFont="1" applyFill="1" applyBorder="1" applyAlignment="1">
      <alignment horizontal="center" vertical="center" wrapText="1"/>
    </xf>
    <xf numFmtId="9" fontId="5" fillId="8" borderId="3" xfId="6" applyFont="1" applyFill="1" applyBorder="1" applyAlignment="1">
      <alignment horizontal="center" vertical="center" wrapText="1"/>
    </xf>
    <xf numFmtId="9" fontId="5" fillId="8" borderId="5" xfId="6" applyFont="1" applyFill="1" applyBorder="1" applyAlignment="1">
      <alignment horizontal="center" vertical="center" wrapText="1"/>
    </xf>
    <xf numFmtId="1" fontId="5" fillId="11" borderId="1" xfId="0" applyNumberFormat="1" applyFont="1" applyFill="1" applyBorder="1" applyAlignment="1">
      <alignment horizontal="center" vertical="center" wrapText="1"/>
    </xf>
    <xf numFmtId="9" fontId="5" fillId="10" borderId="2" xfId="6" applyFont="1" applyFill="1" applyBorder="1" applyAlignment="1">
      <alignment horizontal="center" vertical="center" wrapText="1"/>
    </xf>
    <xf numFmtId="9" fontId="5" fillId="10" borderId="3" xfId="6" applyFont="1" applyFill="1" applyBorder="1" applyAlignment="1">
      <alignment horizontal="center" vertical="center" wrapText="1"/>
    </xf>
    <xf numFmtId="9" fontId="5" fillId="10" borderId="5" xfId="6" applyFont="1" applyFill="1" applyBorder="1" applyAlignment="1">
      <alignment horizontal="center" vertical="center" wrapText="1"/>
    </xf>
    <xf numFmtId="9" fontId="5" fillId="11" borderId="2" xfId="6" applyFont="1" applyFill="1" applyBorder="1" applyAlignment="1">
      <alignment horizontal="center" vertical="center" wrapText="1"/>
    </xf>
    <xf numFmtId="9" fontId="5" fillId="11" borderId="3" xfId="6"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right" vertical="center" wrapText="1"/>
    </xf>
    <xf numFmtId="167" fontId="5" fillId="8" borderId="1" xfId="1" applyNumberFormat="1" applyFont="1" applyFill="1" applyBorder="1" applyAlignment="1">
      <alignment horizontal="right" vertical="center" wrapText="1"/>
    </xf>
    <xf numFmtId="167" fontId="5" fillId="8" borderId="1" xfId="1" applyNumberFormat="1" applyFont="1" applyFill="1" applyBorder="1" applyAlignment="1">
      <alignment horizontal="center" vertical="center" wrapText="1"/>
    </xf>
    <xf numFmtId="3" fontId="5" fillId="8" borderId="1" xfId="0" applyNumberFormat="1" applyFont="1" applyFill="1" applyBorder="1" applyAlignment="1">
      <alignment horizontal="left" vertical="center" wrapText="1"/>
    </xf>
    <xf numFmtId="0" fontId="5" fillId="0" borderId="0" xfId="0" applyFont="1" applyFill="1" applyBorder="1" applyAlignment="1">
      <alignment horizontal="center" vertical="center"/>
    </xf>
    <xf numFmtId="0" fontId="6" fillId="6" borderId="2" xfId="4" applyFont="1" applyFill="1" applyBorder="1" applyAlignment="1">
      <alignment horizontal="left" vertical="center" wrapText="1"/>
    </xf>
    <xf numFmtId="0" fontId="6" fillId="6" borderId="3" xfId="4" applyFont="1" applyFill="1" applyBorder="1" applyAlignment="1">
      <alignment horizontal="left" vertical="center" wrapText="1"/>
    </xf>
    <xf numFmtId="0" fontId="6" fillId="6" borderId="5" xfId="4" applyFont="1" applyFill="1" applyBorder="1" applyAlignment="1">
      <alignment horizontal="left" vertical="center" wrapText="1"/>
    </xf>
    <xf numFmtId="0" fontId="6" fillId="7" borderId="1" xfId="4" applyFont="1" applyFill="1" applyBorder="1" applyAlignment="1">
      <alignment horizontal="left" vertical="center" wrapText="1"/>
    </xf>
    <xf numFmtId="3" fontId="5" fillId="7" borderId="1" xfId="0" applyNumberFormat="1" applyFont="1" applyFill="1" applyBorder="1" applyAlignment="1">
      <alignment horizontal="left" vertical="center" wrapText="1"/>
    </xf>
    <xf numFmtId="1"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left" vertical="center" wrapText="1"/>
    </xf>
    <xf numFmtId="1" fontId="5" fillId="10" borderId="1" xfId="0" applyNumberFormat="1" applyFont="1" applyFill="1" applyBorder="1" applyAlignment="1">
      <alignment horizontal="center" vertical="center" wrapText="1"/>
    </xf>
    <xf numFmtId="10" fontId="10" fillId="5" borderId="2" xfId="6" applyNumberFormat="1" applyFont="1" applyFill="1" applyBorder="1" applyAlignment="1">
      <alignment horizontal="center" vertical="center" wrapText="1"/>
    </xf>
    <xf numFmtId="10" fontId="10" fillId="5" borderId="3" xfId="6" applyNumberFormat="1" applyFont="1" applyFill="1" applyBorder="1" applyAlignment="1">
      <alignment horizontal="center" vertical="center" wrapText="1"/>
    </xf>
    <xf numFmtId="10" fontId="10" fillId="5" borderId="5" xfId="6" applyNumberFormat="1" applyFont="1" applyFill="1" applyBorder="1" applyAlignment="1">
      <alignment horizontal="center" vertical="center" wrapText="1"/>
    </xf>
    <xf numFmtId="167" fontId="5" fillId="10" borderId="1" xfId="1" applyNumberFormat="1" applyFont="1" applyFill="1" applyBorder="1" applyAlignment="1">
      <alignment horizontal="center" vertical="center" wrapText="1"/>
    </xf>
    <xf numFmtId="9" fontId="5" fillId="19" borderId="2" xfId="6" applyFont="1" applyFill="1" applyBorder="1" applyAlignment="1">
      <alignment horizontal="center" vertical="center" wrapText="1"/>
    </xf>
    <xf numFmtId="9" fontId="5" fillId="19" borderId="3" xfId="6" applyFont="1" applyFill="1" applyBorder="1" applyAlignment="1">
      <alignment horizontal="center" vertical="center" wrapText="1"/>
    </xf>
    <xf numFmtId="9" fontId="5" fillId="19" borderId="5" xfId="6"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xf numFmtId="9" fontId="5" fillId="20" borderId="2" xfId="6" applyFont="1" applyFill="1" applyBorder="1" applyAlignment="1">
      <alignment horizontal="center" vertical="center" wrapText="1"/>
    </xf>
    <xf numFmtId="9" fontId="5" fillId="20" borderId="3" xfId="6" applyFont="1" applyFill="1" applyBorder="1" applyAlignment="1">
      <alignment horizontal="center" vertical="center" wrapText="1"/>
    </xf>
    <xf numFmtId="9" fontId="5" fillId="20" borderId="5" xfId="6" applyFont="1" applyFill="1" applyBorder="1" applyAlignment="1">
      <alignment horizontal="center" vertical="center" wrapText="1"/>
    </xf>
    <xf numFmtId="9" fontId="5" fillId="15" borderId="2" xfId="6" applyFont="1" applyFill="1" applyBorder="1" applyAlignment="1">
      <alignment horizontal="center" vertical="center" wrapText="1"/>
    </xf>
    <xf numFmtId="9" fontId="5" fillId="15" borderId="3" xfId="6" applyFont="1" applyFill="1" applyBorder="1" applyAlignment="1">
      <alignment horizontal="center" vertical="center" wrapText="1"/>
    </xf>
    <xf numFmtId="9" fontId="5" fillId="15" borderId="5" xfId="6" applyFont="1" applyFill="1" applyBorder="1" applyAlignment="1">
      <alignment horizontal="center" vertical="center" wrapText="1"/>
    </xf>
    <xf numFmtId="9" fontId="5" fillId="18" borderId="2" xfId="6" applyFont="1" applyFill="1" applyBorder="1" applyAlignment="1">
      <alignment horizontal="center" vertical="center" wrapText="1"/>
    </xf>
    <xf numFmtId="9" fontId="5" fillId="18" borderId="3" xfId="6" applyFont="1" applyFill="1" applyBorder="1" applyAlignment="1">
      <alignment horizontal="center" vertical="center" wrapText="1"/>
    </xf>
    <xf numFmtId="9" fontId="5" fillId="18" borderId="5" xfId="6" applyFont="1" applyFill="1" applyBorder="1" applyAlignment="1">
      <alignment horizontal="center" vertical="center" wrapText="1"/>
    </xf>
    <xf numFmtId="3" fontId="5" fillId="11" borderId="1" xfId="0" applyNumberFormat="1" applyFont="1" applyFill="1" applyBorder="1" applyAlignment="1">
      <alignment horizontal="left" vertical="center" wrapText="1"/>
    </xf>
    <xf numFmtId="10" fontId="5" fillId="10" borderId="2" xfId="6" applyNumberFormat="1" applyFont="1" applyFill="1" applyBorder="1" applyAlignment="1">
      <alignment horizontal="center" vertical="center" wrapText="1"/>
    </xf>
    <xf numFmtId="10" fontId="5" fillId="10" borderId="3" xfId="6" applyNumberFormat="1" applyFont="1" applyFill="1" applyBorder="1" applyAlignment="1">
      <alignment horizontal="center" vertical="center" wrapText="1"/>
    </xf>
    <xf numFmtId="10" fontId="5" fillId="10" borderId="5" xfId="6" applyNumberFormat="1" applyFont="1" applyFill="1" applyBorder="1" applyAlignment="1">
      <alignment horizontal="center" vertical="center" wrapText="1"/>
    </xf>
    <xf numFmtId="9" fontId="5" fillId="10" borderId="2" xfId="7" applyNumberFormat="1" applyFont="1" applyFill="1" applyBorder="1" applyAlignment="1">
      <alignment horizontal="center" vertical="center" wrapText="1"/>
    </xf>
    <xf numFmtId="9" fontId="5" fillId="10" borderId="3" xfId="7" applyNumberFormat="1" applyFont="1" applyFill="1" applyBorder="1" applyAlignment="1">
      <alignment horizontal="center" vertical="center" wrapText="1"/>
    </xf>
    <xf numFmtId="9" fontId="5" fillId="10" borderId="5" xfId="7" applyNumberFormat="1" applyFont="1" applyFill="1" applyBorder="1" applyAlignment="1">
      <alignment horizontal="center" vertical="center" wrapText="1"/>
    </xf>
    <xf numFmtId="9" fontId="5" fillId="9" borderId="2" xfId="6" applyFont="1" applyFill="1" applyBorder="1" applyAlignment="1">
      <alignment horizontal="center" vertical="center" wrapText="1"/>
    </xf>
    <xf numFmtId="9" fontId="5" fillId="9" borderId="3" xfId="6" applyFont="1" applyFill="1" applyBorder="1" applyAlignment="1">
      <alignment horizontal="center" vertical="center" wrapText="1"/>
    </xf>
    <xf numFmtId="9" fontId="5" fillId="9" borderId="5" xfId="6" applyFont="1" applyFill="1" applyBorder="1" applyAlignment="1">
      <alignment horizontal="center" vertical="center" wrapText="1"/>
    </xf>
    <xf numFmtId="1" fontId="5" fillId="8" borderId="1" xfId="0" applyNumberFormat="1" applyFont="1" applyFill="1" applyBorder="1" applyAlignment="1">
      <alignment horizontal="center" vertical="center" wrapText="1"/>
    </xf>
    <xf numFmtId="3" fontId="5" fillId="10"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167" fontId="5" fillId="9" borderId="1" xfId="1" applyNumberFormat="1" applyFont="1" applyFill="1" applyBorder="1" applyAlignment="1">
      <alignment horizontal="right" vertical="center" wrapText="1"/>
    </xf>
    <xf numFmtId="3"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9" fontId="5" fillId="20" borderId="2" xfId="6" applyNumberFormat="1" applyFont="1" applyFill="1" applyBorder="1" applyAlignment="1">
      <alignment horizontal="center" vertical="center" wrapText="1"/>
    </xf>
    <xf numFmtId="9" fontId="5" fillId="20" borderId="3" xfId="6" applyNumberFormat="1" applyFont="1" applyFill="1" applyBorder="1" applyAlignment="1">
      <alignment horizontal="center" vertical="center" wrapText="1"/>
    </xf>
    <xf numFmtId="9" fontId="5" fillId="20" borderId="5" xfId="6" applyNumberFormat="1" applyFont="1" applyFill="1" applyBorder="1" applyAlignment="1">
      <alignment horizontal="center" vertical="center" wrapText="1"/>
    </xf>
    <xf numFmtId="164" fontId="10" fillId="7" borderId="2" xfId="7" applyFont="1" applyFill="1" applyBorder="1" applyAlignment="1">
      <alignment horizontal="center" vertical="center" wrapText="1"/>
    </xf>
    <xf numFmtId="164" fontId="10" fillId="7" borderId="5" xfId="7" applyFont="1" applyFill="1" applyBorder="1" applyAlignment="1">
      <alignment horizontal="center" vertical="center" wrapText="1"/>
    </xf>
    <xf numFmtId="10" fontId="10" fillId="10" borderId="2" xfId="6" applyNumberFormat="1" applyFont="1" applyFill="1" applyBorder="1" applyAlignment="1">
      <alignment horizontal="center" vertical="center" wrapText="1"/>
    </xf>
    <xf numFmtId="10" fontId="10" fillId="10" borderId="3" xfId="6" applyNumberFormat="1" applyFont="1" applyFill="1" applyBorder="1" applyAlignment="1">
      <alignment horizontal="center" vertical="center" wrapText="1"/>
    </xf>
    <xf numFmtId="10" fontId="10" fillId="10" borderId="5" xfId="6" applyNumberFormat="1" applyFont="1" applyFill="1" applyBorder="1" applyAlignment="1">
      <alignment horizontal="center" vertical="center" wrapText="1"/>
    </xf>
    <xf numFmtId="9" fontId="10" fillId="23" borderId="2" xfId="6" applyFont="1" applyFill="1" applyBorder="1" applyAlignment="1">
      <alignment horizontal="center" vertical="center" wrapText="1"/>
    </xf>
    <xf numFmtId="164" fontId="10" fillId="23" borderId="3" xfId="7" applyFont="1" applyFill="1" applyBorder="1" applyAlignment="1">
      <alignment horizontal="center" vertical="center" wrapText="1"/>
    </xf>
    <xf numFmtId="164" fontId="10" fillId="23" borderId="7" xfId="7"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6" borderId="1" xfId="4" applyFont="1" applyFill="1" applyBorder="1" applyAlignment="1">
      <alignment horizontal="center" vertical="center" wrapText="1"/>
    </xf>
    <xf numFmtId="4" fontId="6" fillId="7" borderId="1" xfId="4" applyNumberFormat="1"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167" fontId="5" fillId="11" borderId="1" xfId="1" applyNumberFormat="1" applyFont="1" applyFill="1" applyBorder="1" applyAlignment="1">
      <alignment horizontal="center" vertical="center" wrapText="1"/>
    </xf>
    <xf numFmtId="166" fontId="10" fillId="6" borderId="1" xfId="1" applyNumberFormat="1" applyFont="1" applyFill="1" applyBorder="1" applyAlignment="1">
      <alignment horizontal="center" vertical="center" wrapText="1"/>
    </xf>
    <xf numFmtId="9" fontId="10" fillId="6" borderId="1" xfId="6" applyFont="1" applyFill="1" applyBorder="1" applyAlignment="1">
      <alignment horizontal="center" vertical="center" wrapText="1"/>
    </xf>
    <xf numFmtId="167" fontId="10" fillId="6" borderId="2" xfId="1" applyNumberFormat="1" applyFont="1" applyFill="1" applyBorder="1" applyAlignment="1">
      <alignment horizontal="center" vertical="center" wrapText="1"/>
    </xf>
    <xf numFmtId="167" fontId="10" fillId="6" borderId="3" xfId="1" applyNumberFormat="1" applyFont="1" applyFill="1" applyBorder="1" applyAlignment="1">
      <alignment horizontal="center" vertical="center" wrapText="1"/>
    </xf>
    <xf numFmtId="167" fontId="10" fillId="6" borderId="5" xfId="1" applyNumberFormat="1" applyFont="1" applyFill="1" applyBorder="1" applyAlignment="1">
      <alignment horizontal="center" vertical="center" wrapText="1"/>
    </xf>
    <xf numFmtId="164" fontId="10" fillId="6" borderId="2" xfId="7" applyNumberFormat="1" applyFont="1" applyFill="1" applyBorder="1" applyAlignment="1">
      <alignment horizontal="center" vertical="center" wrapText="1"/>
    </xf>
    <xf numFmtId="164" fontId="10" fillId="6" borderId="3" xfId="7" applyNumberFormat="1" applyFont="1" applyFill="1" applyBorder="1" applyAlignment="1">
      <alignment horizontal="center" vertical="center" wrapText="1"/>
    </xf>
    <xf numFmtId="164" fontId="10" fillId="6" borderId="7" xfId="7" applyNumberFormat="1" applyFont="1" applyFill="1" applyBorder="1" applyAlignment="1">
      <alignment horizontal="center" vertical="center" wrapText="1"/>
    </xf>
    <xf numFmtId="168" fontId="10" fillId="15" borderId="2" xfId="7" applyNumberFormat="1" applyFont="1" applyFill="1" applyBorder="1" applyAlignment="1">
      <alignment horizontal="center" vertical="center"/>
    </xf>
    <xf numFmtId="168" fontId="10" fillId="15" borderId="5" xfId="7" applyNumberFormat="1" applyFont="1" applyFill="1" applyBorder="1" applyAlignment="1">
      <alignment horizontal="center" vertical="center"/>
    </xf>
    <xf numFmtId="10" fontId="10" fillId="15" borderId="2" xfId="6" applyNumberFormat="1" applyFont="1" applyFill="1" applyBorder="1" applyAlignment="1">
      <alignment horizontal="center" vertical="center"/>
    </xf>
    <xf numFmtId="10" fontId="10" fillId="15" borderId="5" xfId="6" applyNumberFormat="1" applyFont="1" applyFill="1" applyBorder="1" applyAlignment="1">
      <alignment horizontal="center" vertical="center"/>
    </xf>
    <xf numFmtId="0" fontId="5" fillId="8" borderId="1" xfId="1" applyNumberFormat="1" applyFont="1" applyFill="1" applyBorder="1" applyAlignment="1">
      <alignment vertical="center" wrapText="1"/>
    </xf>
    <xf numFmtId="0" fontId="5" fillId="9" borderId="1" xfId="4" applyFont="1" applyFill="1" applyBorder="1" applyAlignment="1">
      <alignment vertical="center" wrapText="1"/>
    </xf>
    <xf numFmtId="10" fontId="10" fillId="23" borderId="2" xfId="6" applyNumberFormat="1" applyFont="1" applyFill="1" applyBorder="1" applyAlignment="1">
      <alignment horizontal="center" vertical="center" wrapText="1"/>
    </xf>
    <xf numFmtId="10" fontId="10" fillId="23" borderId="3" xfId="6" applyNumberFormat="1" applyFont="1" applyFill="1" applyBorder="1" applyAlignment="1">
      <alignment horizontal="center" vertical="center" wrapText="1"/>
    </xf>
    <xf numFmtId="10" fontId="10" fillId="23" borderId="5" xfId="6" applyNumberFormat="1" applyFont="1" applyFill="1" applyBorder="1" applyAlignment="1">
      <alignment horizontal="center" vertical="center" wrapText="1"/>
    </xf>
    <xf numFmtId="10" fontId="10" fillId="23" borderId="2" xfId="6" applyNumberFormat="1" applyFont="1" applyFill="1" applyBorder="1" applyAlignment="1">
      <alignment horizontal="center" vertical="center"/>
    </xf>
    <xf numFmtId="10" fontId="10" fillId="23" borderId="3" xfId="6" applyNumberFormat="1" applyFont="1" applyFill="1" applyBorder="1" applyAlignment="1">
      <alignment horizontal="center" vertical="center"/>
    </xf>
    <xf numFmtId="10" fontId="10" fillId="23" borderId="5" xfId="6" applyNumberFormat="1" applyFont="1" applyFill="1" applyBorder="1" applyAlignment="1">
      <alignment horizontal="center" vertical="center"/>
    </xf>
    <xf numFmtId="10" fontId="11" fillId="23" borderId="2" xfId="6" applyNumberFormat="1" applyFont="1" applyFill="1" applyBorder="1" applyAlignment="1">
      <alignment horizontal="center" vertical="center"/>
    </xf>
    <xf numFmtId="10" fontId="11" fillId="23" borderId="3" xfId="6" applyNumberFormat="1" applyFont="1" applyFill="1" applyBorder="1" applyAlignment="1">
      <alignment horizontal="center" vertical="center"/>
    </xf>
    <xf numFmtId="10" fontId="11" fillId="23" borderId="5" xfId="6" applyNumberFormat="1" applyFont="1" applyFill="1" applyBorder="1" applyAlignment="1">
      <alignment horizontal="center" vertical="center"/>
    </xf>
    <xf numFmtId="10" fontId="10" fillId="6" borderId="2" xfId="6" applyNumberFormat="1" applyFont="1" applyFill="1" applyBorder="1" applyAlignment="1">
      <alignment horizontal="center" vertical="center" wrapText="1"/>
    </xf>
    <xf numFmtId="10" fontId="10" fillId="6" borderId="3" xfId="1" applyNumberFormat="1" applyFont="1" applyFill="1" applyBorder="1" applyAlignment="1">
      <alignment horizontal="center" vertical="center" wrapText="1"/>
    </xf>
    <xf numFmtId="10" fontId="10" fillId="6" borderId="5" xfId="1" applyNumberFormat="1" applyFont="1" applyFill="1" applyBorder="1" applyAlignment="1">
      <alignment horizontal="center" vertical="center" wrapText="1"/>
    </xf>
    <xf numFmtId="164" fontId="10" fillId="6" borderId="2" xfId="7" applyFont="1" applyFill="1" applyBorder="1" applyAlignment="1">
      <alignment horizontal="center" vertical="center" wrapText="1"/>
    </xf>
    <xf numFmtId="164" fontId="10" fillId="6" borderId="5" xfId="7" applyFont="1" applyFill="1" applyBorder="1" applyAlignment="1">
      <alignment horizontal="center" vertical="center" wrapText="1"/>
    </xf>
    <xf numFmtId="164" fontId="10" fillId="6" borderId="5" xfId="7" applyNumberFormat="1" applyFont="1" applyFill="1" applyBorder="1" applyAlignment="1">
      <alignment horizontal="center" vertical="center" wrapText="1"/>
    </xf>
    <xf numFmtId="10" fontId="10" fillId="6" borderId="5" xfId="7" applyNumberFormat="1" applyFont="1" applyFill="1" applyBorder="1" applyAlignment="1">
      <alignment horizontal="center" vertical="center" wrapText="1"/>
    </xf>
    <xf numFmtId="167" fontId="10" fillId="6" borderId="1" xfId="1" applyNumberFormat="1" applyFont="1" applyFill="1" applyBorder="1" applyAlignment="1">
      <alignment horizontal="center" vertical="center"/>
    </xf>
    <xf numFmtId="164" fontId="10" fillId="6" borderId="1" xfId="7" applyFont="1" applyFill="1" applyBorder="1" applyAlignment="1">
      <alignment horizontal="center" vertical="center"/>
    </xf>
    <xf numFmtId="10" fontId="10" fillId="6" borderId="1" xfId="6" applyNumberFormat="1" applyFont="1" applyFill="1" applyBorder="1" applyAlignment="1">
      <alignment horizontal="center" vertical="center"/>
    </xf>
    <xf numFmtId="10" fontId="10" fillId="6" borderId="1" xfId="7" applyNumberFormat="1" applyFont="1" applyFill="1" applyBorder="1" applyAlignment="1">
      <alignment horizontal="center" vertical="center"/>
    </xf>
    <xf numFmtId="10" fontId="10" fillId="6" borderId="2" xfId="6" applyNumberFormat="1" applyFont="1" applyFill="1" applyBorder="1" applyAlignment="1">
      <alignment horizontal="center" vertical="center"/>
    </xf>
    <xf numFmtId="10" fontId="10" fillId="6" borderId="3" xfId="6" applyNumberFormat="1" applyFont="1" applyFill="1" applyBorder="1" applyAlignment="1">
      <alignment horizontal="center" vertical="center"/>
    </xf>
    <xf numFmtId="10" fontId="10" fillId="6" borderId="5" xfId="6" applyNumberFormat="1" applyFont="1" applyFill="1" applyBorder="1" applyAlignment="1">
      <alignment horizontal="center" vertical="center"/>
    </xf>
    <xf numFmtId="1" fontId="5" fillId="8" borderId="1" xfId="1" applyNumberFormat="1" applyFont="1" applyFill="1" applyBorder="1" applyAlignment="1">
      <alignment vertical="center" wrapText="1"/>
    </xf>
    <xf numFmtId="0" fontId="6" fillId="9" borderId="1" xfId="4" applyFont="1" applyFill="1" applyBorder="1" applyAlignment="1">
      <alignment horizontal="left" vertical="center" wrapText="1"/>
    </xf>
    <xf numFmtId="10" fontId="10" fillId="6" borderId="3" xfId="7" applyNumberFormat="1" applyFont="1" applyFill="1" applyBorder="1" applyAlignment="1">
      <alignment horizontal="center" vertical="center"/>
    </xf>
    <xf numFmtId="10" fontId="10" fillId="6" borderId="5" xfId="7" applyNumberFormat="1" applyFont="1" applyFill="1" applyBorder="1" applyAlignment="1">
      <alignment horizontal="center" vertical="center"/>
    </xf>
    <xf numFmtId="164" fontId="10" fillId="15" borderId="2" xfId="7" applyNumberFormat="1" applyFont="1" applyFill="1" applyBorder="1" applyAlignment="1">
      <alignment horizontal="center" vertical="center"/>
    </xf>
    <xf numFmtId="164" fontId="10" fillId="15" borderId="3" xfId="7" applyNumberFormat="1" applyFont="1" applyFill="1" applyBorder="1" applyAlignment="1">
      <alignment horizontal="center" vertical="center"/>
    </xf>
    <xf numFmtId="164" fontId="10" fillId="15" borderId="5" xfId="7" applyNumberFormat="1" applyFont="1" applyFill="1" applyBorder="1" applyAlignment="1">
      <alignment horizontal="center" vertical="center"/>
    </xf>
    <xf numFmtId="164" fontId="10" fillId="15" borderId="2" xfId="7" applyFont="1" applyFill="1" applyBorder="1" applyAlignment="1">
      <alignment horizontal="center" vertical="center"/>
    </xf>
    <xf numFmtId="164" fontId="10" fillId="15" borderId="3" xfId="7" applyFont="1" applyFill="1" applyBorder="1" applyAlignment="1">
      <alignment horizontal="center" vertical="center"/>
    </xf>
    <xf numFmtId="164" fontId="10" fillId="15" borderId="5" xfId="7" applyFont="1" applyFill="1" applyBorder="1" applyAlignment="1">
      <alignment horizontal="center" vertical="center"/>
    </xf>
    <xf numFmtId="164" fontId="10" fillId="19" borderId="2" xfId="7" applyFont="1" applyFill="1" applyBorder="1" applyAlignment="1">
      <alignment horizontal="center" vertical="center"/>
    </xf>
    <xf numFmtId="0" fontId="5" fillId="11" borderId="1" xfId="1" applyNumberFormat="1" applyFont="1" applyFill="1" applyBorder="1" applyAlignment="1">
      <alignment horizontal="left" vertical="center" wrapText="1"/>
    </xf>
    <xf numFmtId="164" fontId="10" fillId="9" borderId="2" xfId="7" applyFont="1" applyFill="1" applyBorder="1" applyAlignment="1">
      <alignment horizontal="center" vertical="center"/>
    </xf>
    <xf numFmtId="164" fontId="10" fillId="9" borderId="3" xfId="7" applyFont="1" applyFill="1" applyBorder="1" applyAlignment="1">
      <alignment horizontal="center" vertical="center"/>
    </xf>
    <xf numFmtId="164" fontId="10" fillId="9" borderId="5" xfId="7" applyFont="1" applyFill="1" applyBorder="1" applyAlignment="1">
      <alignment horizontal="center" vertical="center"/>
    </xf>
    <xf numFmtId="10" fontId="10" fillId="6" borderId="3" xfId="7" applyNumberFormat="1" applyFont="1" applyFill="1" applyBorder="1" applyAlignment="1">
      <alignment horizontal="center" vertical="center" wrapText="1"/>
    </xf>
    <xf numFmtId="10" fontId="10" fillId="6" borderId="7" xfId="7" applyNumberFormat="1" applyFont="1" applyFill="1" applyBorder="1" applyAlignment="1">
      <alignment horizontal="center" vertical="center" wrapText="1"/>
    </xf>
    <xf numFmtId="164" fontId="10" fillId="6" borderId="2" xfId="7" applyNumberFormat="1" applyFont="1" applyFill="1" applyBorder="1" applyAlignment="1">
      <alignment horizontal="center" vertical="center"/>
    </xf>
    <xf numFmtId="164" fontId="10" fillId="6" borderId="3" xfId="7" applyNumberFormat="1" applyFont="1" applyFill="1" applyBorder="1" applyAlignment="1">
      <alignment horizontal="center" vertical="center"/>
    </xf>
    <xf numFmtId="164" fontId="10" fillId="6" borderId="5" xfId="7" applyNumberFormat="1" applyFont="1" applyFill="1" applyBorder="1" applyAlignment="1">
      <alignment horizontal="center" vertical="center"/>
    </xf>
    <xf numFmtId="10" fontId="10" fillId="15" borderId="3" xfId="6" applyNumberFormat="1" applyFont="1" applyFill="1" applyBorder="1" applyAlignment="1">
      <alignment horizontal="center" vertical="center"/>
    </xf>
    <xf numFmtId="168" fontId="10" fillId="15" borderId="7" xfId="7" applyNumberFormat="1" applyFont="1" applyFill="1" applyBorder="1" applyAlignment="1">
      <alignment horizontal="center" vertical="center" wrapText="1"/>
    </xf>
    <xf numFmtId="10" fontId="10" fillId="15" borderId="7" xfId="6"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167" fontId="10" fillId="5" borderId="1" xfId="1" applyNumberFormat="1" applyFont="1" applyFill="1" applyBorder="1" applyAlignment="1">
      <alignment horizontal="center" vertical="center" wrapText="1"/>
    </xf>
    <xf numFmtId="167" fontId="5" fillId="9" borderId="1" xfId="1" applyNumberFormat="1" applyFont="1" applyFill="1" applyBorder="1" applyAlignment="1">
      <alignment horizontal="center" vertical="center" wrapText="1"/>
    </xf>
    <xf numFmtId="167" fontId="10" fillId="7" borderId="1" xfId="1" applyNumberFormat="1" applyFont="1" applyFill="1" applyBorder="1" applyAlignment="1">
      <alignment horizontal="center" vertical="center" wrapText="1"/>
    </xf>
    <xf numFmtId="167" fontId="10" fillId="9" borderId="2" xfId="1" applyNumberFormat="1" applyFont="1" applyFill="1" applyBorder="1" applyAlignment="1">
      <alignment horizontal="left" vertical="center" wrapText="1"/>
    </xf>
    <xf numFmtId="167" fontId="10" fillId="9" borderId="3" xfId="1" applyNumberFormat="1" applyFont="1" applyFill="1" applyBorder="1" applyAlignment="1">
      <alignment horizontal="left" vertical="center" wrapText="1"/>
    </xf>
    <xf numFmtId="167" fontId="10" fillId="9" borderId="5" xfId="1" applyNumberFormat="1" applyFont="1" applyFill="1" applyBorder="1" applyAlignment="1">
      <alignment horizontal="left" vertical="center" wrapText="1"/>
    </xf>
    <xf numFmtId="10" fontId="10" fillId="6" borderId="3" xfId="6" applyNumberFormat="1" applyFont="1" applyFill="1" applyBorder="1" applyAlignment="1">
      <alignment horizontal="center" vertical="center" wrapText="1"/>
    </xf>
    <xf numFmtId="10" fontId="10" fillId="6" borderId="5" xfId="6" applyNumberFormat="1" applyFont="1" applyFill="1" applyBorder="1" applyAlignment="1">
      <alignment horizontal="center" vertical="center" wrapText="1"/>
    </xf>
    <xf numFmtId="10" fontId="10" fillId="9" borderId="2" xfId="6" applyNumberFormat="1" applyFont="1" applyFill="1" applyBorder="1" applyAlignment="1">
      <alignment horizontal="center" vertical="center" wrapText="1"/>
    </xf>
    <xf numFmtId="10" fontId="10" fillId="9" borderId="3" xfId="6" applyNumberFormat="1" applyFont="1" applyFill="1" applyBorder="1" applyAlignment="1">
      <alignment horizontal="center" vertical="center" wrapText="1"/>
    </xf>
    <xf numFmtId="10" fontId="10" fillId="9" borderId="5" xfId="6" applyNumberFormat="1" applyFont="1" applyFill="1" applyBorder="1" applyAlignment="1">
      <alignment horizontal="center" vertical="center" wrapText="1"/>
    </xf>
    <xf numFmtId="167" fontId="10" fillId="9" borderId="1" xfId="1" applyNumberFormat="1" applyFont="1" applyFill="1" applyBorder="1" applyAlignment="1">
      <alignment horizontal="center" vertical="center" wrapText="1"/>
    </xf>
    <xf numFmtId="10" fontId="11" fillId="9" borderId="2" xfId="6" applyNumberFormat="1" applyFont="1" applyFill="1" applyBorder="1" applyAlignment="1">
      <alignment horizontal="center" vertical="center"/>
    </xf>
    <xf numFmtId="10" fontId="11" fillId="9" borderId="3" xfId="6" applyNumberFormat="1" applyFont="1" applyFill="1" applyBorder="1" applyAlignment="1">
      <alignment horizontal="center" vertical="center"/>
    </xf>
    <xf numFmtId="10" fontId="11" fillId="9" borderId="5" xfId="6" applyNumberFormat="1" applyFont="1" applyFill="1" applyBorder="1" applyAlignment="1">
      <alignment horizontal="center" vertical="center"/>
    </xf>
    <xf numFmtId="168" fontId="10" fillId="20" borderId="2" xfId="7" applyNumberFormat="1" applyFont="1" applyFill="1" applyBorder="1" applyAlignment="1">
      <alignment horizontal="center" vertical="center" wrapText="1"/>
    </xf>
    <xf numFmtId="168" fontId="10" fillId="20" borderId="3" xfId="7" applyNumberFormat="1" applyFont="1" applyFill="1" applyBorder="1" applyAlignment="1">
      <alignment horizontal="center" vertical="center" wrapText="1"/>
    </xf>
    <xf numFmtId="168" fontId="10" fillId="20" borderId="7" xfId="7" applyNumberFormat="1" applyFont="1" applyFill="1" applyBorder="1" applyAlignment="1">
      <alignment horizontal="center" vertical="center" wrapText="1"/>
    </xf>
    <xf numFmtId="168" fontId="10" fillId="20" borderId="2" xfId="7" applyNumberFormat="1" applyFont="1" applyFill="1" applyBorder="1" applyAlignment="1">
      <alignment horizontal="center" vertical="center"/>
    </xf>
    <xf numFmtId="168" fontId="10" fillId="20" borderId="3" xfId="7" applyNumberFormat="1" applyFont="1" applyFill="1" applyBorder="1" applyAlignment="1">
      <alignment horizontal="center" vertical="center"/>
    </xf>
    <xf numFmtId="168" fontId="10" fillId="20" borderId="5" xfId="7" applyNumberFormat="1" applyFont="1" applyFill="1" applyBorder="1" applyAlignment="1">
      <alignment horizontal="center" vertical="center"/>
    </xf>
    <xf numFmtId="166" fontId="10" fillId="20" borderId="1" xfId="1" applyNumberFormat="1" applyFont="1" applyFill="1" applyBorder="1" applyAlignment="1">
      <alignment horizontal="center" vertical="center"/>
    </xf>
    <xf numFmtId="10" fontId="10" fillId="23" borderId="2" xfId="7" applyNumberFormat="1" applyFont="1" applyFill="1" applyBorder="1" applyAlignment="1">
      <alignment horizontal="center" vertical="center"/>
    </xf>
    <xf numFmtId="10" fontId="10" fillId="23" borderId="3" xfId="7" applyNumberFormat="1" applyFont="1" applyFill="1" applyBorder="1" applyAlignment="1">
      <alignment horizontal="center" vertical="center"/>
    </xf>
    <xf numFmtId="10" fontId="10" fillId="23" borderId="5" xfId="7" applyNumberFormat="1" applyFont="1" applyFill="1" applyBorder="1" applyAlignment="1">
      <alignment horizontal="center" vertical="center"/>
    </xf>
    <xf numFmtId="166" fontId="10" fillId="20" borderId="1" xfId="1" applyNumberFormat="1" applyFont="1" applyFill="1" applyBorder="1" applyAlignment="1">
      <alignment horizontal="center" vertical="center" wrapText="1"/>
    </xf>
    <xf numFmtId="166" fontId="10" fillId="20" borderId="2" xfId="1" applyNumberFormat="1" applyFont="1" applyFill="1" applyBorder="1" applyAlignment="1">
      <alignment horizontal="center" vertical="center" wrapText="1"/>
    </xf>
    <xf numFmtId="166" fontId="10" fillId="20" borderId="3" xfId="1" applyNumberFormat="1" applyFont="1" applyFill="1" applyBorder="1" applyAlignment="1">
      <alignment horizontal="center" vertical="center" wrapText="1"/>
    </xf>
    <xf numFmtId="166" fontId="10" fillId="20" borderId="5" xfId="1" applyNumberFormat="1" applyFont="1" applyFill="1" applyBorder="1" applyAlignment="1">
      <alignment horizontal="center" vertical="center" wrapText="1"/>
    </xf>
    <xf numFmtId="10" fontId="10" fillId="20" borderId="2" xfId="6" applyNumberFormat="1" applyFont="1" applyFill="1" applyBorder="1" applyAlignment="1">
      <alignment horizontal="center" vertical="center" wrapText="1"/>
    </xf>
    <xf numFmtId="10" fontId="10" fillId="20" borderId="3" xfId="7" applyNumberFormat="1" applyFont="1" applyFill="1" applyBorder="1" applyAlignment="1">
      <alignment horizontal="center" vertical="center" wrapText="1"/>
    </xf>
    <xf numFmtId="10" fontId="10" fillId="20" borderId="7" xfId="7" applyNumberFormat="1" applyFont="1" applyFill="1" applyBorder="1" applyAlignment="1">
      <alignment horizontal="center" vertical="center" wrapText="1"/>
    </xf>
    <xf numFmtId="167" fontId="10" fillId="10" borderId="1" xfId="1" applyNumberFormat="1" applyFont="1" applyFill="1" applyBorder="1" applyAlignment="1">
      <alignment horizontal="center" vertical="center" wrapText="1"/>
    </xf>
    <xf numFmtId="0" fontId="6" fillId="15" borderId="5" xfId="4" applyFont="1" applyFill="1" applyBorder="1" applyAlignment="1">
      <alignment vertical="center" wrapText="1"/>
    </xf>
    <xf numFmtId="0" fontId="6" fillId="15" borderId="1" xfId="4" applyFont="1" applyFill="1" applyBorder="1" applyAlignment="1">
      <alignment vertical="center" wrapText="1"/>
    </xf>
    <xf numFmtId="0" fontId="5" fillId="15" borderId="2" xfId="4" applyFont="1" applyFill="1" applyBorder="1" applyAlignment="1">
      <alignment vertical="center" wrapText="1"/>
    </xf>
    <xf numFmtId="0" fontId="5" fillId="15" borderId="3" xfId="4" applyFont="1" applyFill="1" applyBorder="1" applyAlignment="1">
      <alignment vertical="center" wrapText="1"/>
    </xf>
    <xf numFmtId="0" fontId="5" fillId="15" borderId="5" xfId="4" applyFont="1" applyFill="1" applyBorder="1" applyAlignment="1">
      <alignment vertical="center" wrapText="1"/>
    </xf>
    <xf numFmtId="0" fontId="6" fillId="15" borderId="2" xfId="4" applyFont="1" applyFill="1" applyBorder="1" applyAlignment="1">
      <alignment vertical="center" wrapText="1"/>
    </xf>
    <xf numFmtId="0" fontId="6" fillId="15" borderId="3" xfId="4" applyFont="1" applyFill="1" applyBorder="1" applyAlignment="1">
      <alignment vertical="center" wrapText="1"/>
    </xf>
    <xf numFmtId="1" fontId="5" fillId="15" borderId="2" xfId="1" applyNumberFormat="1" applyFont="1" applyFill="1" applyBorder="1" applyAlignment="1">
      <alignment vertical="center" wrapText="1"/>
    </xf>
    <xf numFmtId="1" fontId="5" fillId="15" borderId="3" xfId="1" applyNumberFormat="1" applyFont="1" applyFill="1" applyBorder="1" applyAlignment="1">
      <alignment vertical="center" wrapText="1"/>
    </xf>
    <xf numFmtId="1" fontId="5" fillId="15" borderId="5" xfId="1" applyNumberFormat="1" applyFont="1" applyFill="1" applyBorder="1" applyAlignment="1">
      <alignment vertical="center" wrapText="1"/>
    </xf>
    <xf numFmtId="0" fontId="20" fillId="15" borderId="2" xfId="0" applyFont="1" applyFill="1" applyBorder="1" applyAlignment="1">
      <alignment horizontal="left" vertical="top" wrapText="1"/>
    </xf>
    <xf numFmtId="0" fontId="20" fillId="15" borderId="5" xfId="0" applyFont="1" applyFill="1" applyBorder="1" applyAlignment="1">
      <alignment horizontal="left" vertical="top" wrapText="1"/>
    </xf>
    <xf numFmtId="0" fontId="6" fillId="20" borderId="5" xfId="4" applyFont="1" applyFill="1" applyBorder="1" applyAlignment="1">
      <alignment vertical="center" wrapText="1"/>
    </xf>
    <xf numFmtId="0" fontId="6" fillId="20" borderId="1" xfId="4" applyFont="1" applyFill="1" applyBorder="1" applyAlignment="1">
      <alignment vertical="center" wrapText="1"/>
    </xf>
    <xf numFmtId="0" fontId="5" fillId="20" borderId="2" xfId="4" applyFont="1" applyFill="1" applyBorder="1" applyAlignment="1">
      <alignment vertical="center" wrapText="1"/>
    </xf>
    <xf numFmtId="0" fontId="5" fillId="20" borderId="3" xfId="4" applyFont="1" applyFill="1" applyBorder="1" applyAlignment="1">
      <alignment vertical="center" wrapText="1"/>
    </xf>
    <xf numFmtId="0" fontId="5" fillId="20" borderId="5" xfId="4" applyFont="1" applyFill="1" applyBorder="1" applyAlignment="1">
      <alignment vertical="center" wrapText="1"/>
    </xf>
    <xf numFmtId="0" fontId="6" fillId="20" borderId="2" xfId="4" applyFont="1" applyFill="1" applyBorder="1" applyAlignment="1">
      <alignment vertical="center" wrapText="1"/>
    </xf>
    <xf numFmtId="0" fontId="6" fillId="20" borderId="3" xfId="4" applyFont="1" applyFill="1" applyBorder="1" applyAlignment="1">
      <alignment vertical="center" wrapText="1"/>
    </xf>
    <xf numFmtId="1" fontId="5" fillId="20" borderId="2" xfId="1" applyNumberFormat="1" applyFont="1" applyFill="1" applyBorder="1" applyAlignment="1">
      <alignment vertical="center" wrapText="1"/>
    </xf>
    <xf numFmtId="1" fontId="5" fillId="20" borderId="3" xfId="1" applyNumberFormat="1" applyFont="1" applyFill="1" applyBorder="1" applyAlignment="1">
      <alignment vertical="center" wrapText="1"/>
    </xf>
    <xf numFmtId="1" fontId="5" fillId="20" borderId="5" xfId="1" applyNumberFormat="1" applyFont="1" applyFill="1" applyBorder="1" applyAlignment="1">
      <alignment vertical="center" wrapText="1"/>
    </xf>
    <xf numFmtId="0" fontId="20" fillId="20" borderId="2" xfId="0" applyFont="1" applyFill="1" applyBorder="1" applyAlignment="1">
      <alignment horizontal="left" vertical="top" wrapText="1"/>
    </xf>
    <xf numFmtId="0" fontId="20" fillId="20" borderId="5" xfId="0" applyFont="1" applyFill="1" applyBorder="1" applyAlignment="1">
      <alignment horizontal="left" vertical="top" wrapText="1"/>
    </xf>
    <xf numFmtId="0" fontId="6" fillId="5" borderId="5" xfId="4" applyFont="1" applyFill="1" applyBorder="1" applyAlignment="1">
      <alignment vertical="center" wrapText="1"/>
    </xf>
    <xf numFmtId="0" fontId="19" fillId="8" borderId="1" xfId="0" applyFont="1" applyFill="1" applyBorder="1" applyAlignment="1">
      <alignment horizontal="left" vertical="center" wrapText="1"/>
    </xf>
    <xf numFmtId="169" fontId="10" fillId="20" borderId="1" xfId="1" applyNumberFormat="1" applyFont="1" applyFill="1" applyBorder="1" applyAlignment="1">
      <alignment horizontal="center" vertical="center" wrapText="1"/>
    </xf>
    <xf numFmtId="10" fontId="10" fillId="20" borderId="1" xfId="6" applyNumberFormat="1" applyFont="1" applyFill="1" applyBorder="1" applyAlignment="1">
      <alignment horizontal="center" vertical="center" wrapText="1"/>
    </xf>
    <xf numFmtId="10" fontId="10" fillId="20" borderId="1" xfId="1" applyNumberFormat="1" applyFont="1" applyFill="1" applyBorder="1" applyAlignment="1">
      <alignment horizontal="center" vertical="center" wrapText="1"/>
    </xf>
    <xf numFmtId="164" fontId="10" fillId="20" borderId="1" xfId="7" applyFont="1" applyFill="1" applyBorder="1" applyAlignment="1">
      <alignment horizontal="center" vertical="center"/>
    </xf>
    <xf numFmtId="10" fontId="10" fillId="20" borderId="1" xfId="6" applyNumberFormat="1" applyFont="1" applyFill="1" applyBorder="1" applyAlignment="1">
      <alignment horizontal="center" vertical="center"/>
    </xf>
    <xf numFmtId="10" fontId="10" fillId="20" borderId="1" xfId="7" applyNumberFormat="1" applyFont="1" applyFill="1" applyBorder="1" applyAlignment="1">
      <alignment horizontal="center" vertical="center"/>
    </xf>
    <xf numFmtId="168" fontId="10" fillId="20" borderId="1" xfId="7" applyNumberFormat="1" applyFont="1" applyFill="1" applyBorder="1" applyAlignment="1">
      <alignment horizontal="center" vertical="center"/>
    </xf>
    <xf numFmtId="0" fontId="5" fillId="9" borderId="1" xfId="4" applyFont="1" applyFill="1" applyBorder="1" applyAlignment="1">
      <alignment horizontal="left" vertical="center" wrapText="1"/>
    </xf>
    <xf numFmtId="10" fontId="10" fillId="20" borderId="2" xfId="6" applyNumberFormat="1" applyFont="1" applyFill="1" applyBorder="1" applyAlignment="1">
      <alignment horizontal="center" vertical="center"/>
    </xf>
    <xf numFmtId="10" fontId="10" fillId="20" borderId="3" xfId="6" applyNumberFormat="1" applyFont="1" applyFill="1" applyBorder="1" applyAlignment="1">
      <alignment horizontal="center" vertical="center"/>
    </xf>
    <xf numFmtId="10" fontId="10" fillId="20" borderId="5" xfId="6" applyNumberFormat="1" applyFont="1" applyFill="1" applyBorder="1" applyAlignment="1">
      <alignment horizontal="center" vertical="center"/>
    </xf>
    <xf numFmtId="168" fontId="10" fillId="15" borderId="3" xfId="7" applyNumberFormat="1" applyFont="1" applyFill="1" applyBorder="1" applyAlignment="1">
      <alignment horizontal="center" vertical="center"/>
    </xf>
    <xf numFmtId="10" fontId="10" fillId="20" borderId="3" xfId="1" applyNumberFormat="1" applyFont="1" applyFill="1" applyBorder="1" applyAlignment="1">
      <alignment horizontal="center" vertical="center" wrapText="1"/>
    </xf>
    <xf numFmtId="10" fontId="10" fillId="20" borderId="5" xfId="1" applyNumberFormat="1" applyFont="1" applyFill="1" applyBorder="1" applyAlignment="1">
      <alignment horizontal="center" vertical="center" wrapText="1"/>
    </xf>
    <xf numFmtId="10" fontId="10" fillId="20" borderId="3" xfId="7" applyNumberFormat="1" applyFont="1" applyFill="1" applyBorder="1" applyAlignment="1">
      <alignment horizontal="center" vertical="center"/>
    </xf>
    <xf numFmtId="10" fontId="10" fillId="20" borderId="5" xfId="7" applyNumberFormat="1" applyFont="1" applyFill="1" applyBorder="1" applyAlignment="1">
      <alignment horizontal="center" vertical="center"/>
    </xf>
    <xf numFmtId="167" fontId="10" fillId="20" borderId="1" xfId="1" applyNumberFormat="1" applyFont="1" applyFill="1" applyBorder="1" applyAlignment="1">
      <alignment horizontal="center" vertical="center"/>
    </xf>
    <xf numFmtId="167" fontId="10" fillId="6" borderId="1" xfId="1" applyNumberFormat="1" applyFont="1" applyFill="1" applyBorder="1" applyAlignment="1">
      <alignment horizontal="center" vertical="center" wrapText="1"/>
    </xf>
    <xf numFmtId="167" fontId="10" fillId="7" borderId="2" xfId="1" applyNumberFormat="1" applyFont="1" applyFill="1" applyBorder="1" applyAlignment="1">
      <alignment horizontal="center" vertical="center" wrapText="1"/>
    </xf>
    <xf numFmtId="167" fontId="10" fillId="7" borderId="5" xfId="1" applyNumberFormat="1" applyFont="1" applyFill="1" applyBorder="1" applyAlignment="1">
      <alignment horizontal="center" vertical="center" wrapText="1"/>
    </xf>
    <xf numFmtId="164" fontId="10" fillId="7" borderId="2" xfId="7" applyFont="1" applyFill="1" applyBorder="1" applyAlignment="1">
      <alignment horizontal="right" vertical="center" wrapText="1"/>
    </xf>
    <xf numFmtId="164" fontId="10" fillId="7" borderId="5" xfId="7" applyFont="1" applyFill="1" applyBorder="1" applyAlignment="1">
      <alignment horizontal="right" vertical="center" wrapText="1"/>
    </xf>
  </cellXfs>
  <cellStyles count="8">
    <cellStyle name="Millares" xfId="1" builtinId="3"/>
    <cellStyle name="Millares [0]" xfId="7" builtinId="6"/>
    <cellStyle name="Millares 2" xfId="3"/>
    <cellStyle name="Moneda 2" xfId="5"/>
    <cellStyle name="Normal" xfId="0" builtinId="0"/>
    <cellStyle name="Normal 2" xfId="2"/>
    <cellStyle name="Normal 2 2" xfId="4"/>
    <cellStyle name="Porcentaje" xfId="6" builtinId="5"/>
  </cellStyles>
  <dxfs count="0"/>
  <tableStyles count="0" defaultTableStyle="TableStyleMedium2" defaultPivotStyle="PivotStyleLight16"/>
  <colors>
    <mruColors>
      <color rgb="FF66FF99"/>
      <color rgb="FFFFFFCC"/>
      <color rgb="FFFFFFFF"/>
      <color rgb="FFFFFF99"/>
      <color rgb="FFCCCCFF"/>
      <color rgb="FFCCECFF"/>
      <color rgb="FFDAE1F2"/>
      <color rgb="FFD9E1F2"/>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#REF!</c:f>
              <c:numCache>
                <c:formatCode>General</c:formatCode>
                <c:ptCount val="1"/>
                <c:pt idx="0">
                  <c:v>1</c:v>
                </c:pt>
              </c:numCache>
            </c:numRef>
          </c:val>
          <c:extLst>
            <c:ext xmlns:c16="http://schemas.microsoft.com/office/drawing/2014/chart" uri="{C3380CC4-5D6E-409C-BE32-E72D297353CC}">
              <c16:uniqueId val="{00000000-89BE-43DD-AC56-D8147B0DDAAC}"/>
            </c:ext>
          </c:extLst>
        </c:ser>
        <c:dLbls>
          <c:showLegendKey val="0"/>
          <c:showVal val="0"/>
          <c:showCatName val="0"/>
          <c:showSerName val="0"/>
          <c:showPercent val="0"/>
          <c:showBubbleSize val="0"/>
        </c:dLbls>
        <c:gapWidth val="219"/>
        <c:overlap val="-27"/>
        <c:axId val="1997336256"/>
        <c:axId val="1997340608"/>
      </c:barChart>
      <c:catAx>
        <c:axId val="19973362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7340608"/>
        <c:crosses val="autoZero"/>
        <c:auto val="1"/>
        <c:lblAlgn val="ctr"/>
        <c:lblOffset val="100"/>
        <c:noMultiLvlLbl val="0"/>
      </c:catAx>
      <c:valAx>
        <c:axId val="199734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7336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750" cy="6080125"/>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418158</xdr:colOff>
      <xdr:row>1</xdr:row>
      <xdr:rowOff>258763</xdr:rowOff>
    </xdr:from>
    <xdr:to>
      <xdr:col>3</xdr:col>
      <xdr:colOff>1111251</xdr:colOff>
      <xdr:row>3</xdr:row>
      <xdr:rowOff>93663</xdr:rowOff>
    </xdr:to>
    <xdr:pic>
      <xdr:nvPicPr>
        <xdr:cNvPr id="2" name="Imagen 1">
          <a:extLst>
            <a:ext uri="{FF2B5EF4-FFF2-40B4-BE49-F238E27FC236}">
              <a16:creationId xmlns:a16="http://schemas.microsoft.com/office/drawing/2014/main" id="{4C7E5D5D-EE7E-4368-9972-9D415B7760AA}"/>
            </a:ext>
          </a:extLst>
        </xdr:cNvPr>
        <xdr:cNvPicPr>
          <a:picLocks noChangeAspect="1"/>
        </xdr:cNvPicPr>
      </xdr:nvPicPr>
      <xdr:blipFill rotWithShape="1">
        <a:blip xmlns:r="http://schemas.openxmlformats.org/officeDocument/2006/relationships" r:embed="rId1"/>
        <a:srcRect r="85166" b="3713"/>
        <a:stretch/>
      </xdr:blipFill>
      <xdr:spPr>
        <a:xfrm>
          <a:off x="1180158" y="544513"/>
          <a:ext cx="5503218" cy="763588"/>
        </a:xfrm>
        <a:prstGeom prst="rect">
          <a:avLst/>
        </a:prstGeom>
      </xdr:spPr>
    </xdr:pic>
    <xdr:clientData/>
  </xdr:twoCellAnchor>
  <xdr:oneCellAnchor>
    <xdr:from>
      <xdr:col>140</xdr:col>
      <xdr:colOff>11779250</xdr:colOff>
      <xdr:row>1</xdr:row>
      <xdr:rowOff>127000</xdr:rowOff>
    </xdr:from>
    <xdr:ext cx="4899821" cy="952501"/>
    <xdr:pic>
      <xdr:nvPicPr>
        <xdr:cNvPr id="5" name="Imagen 4">
          <a:extLst>
            <a:ext uri="{FF2B5EF4-FFF2-40B4-BE49-F238E27FC236}">
              <a16:creationId xmlns:a16="http://schemas.microsoft.com/office/drawing/2014/main" id="{07EBD21D-D96D-4308-BB8D-F7478F3F4FA4}"/>
            </a:ext>
          </a:extLst>
        </xdr:cNvPr>
        <xdr:cNvPicPr>
          <a:picLocks noChangeAspect="1"/>
        </xdr:cNvPicPr>
      </xdr:nvPicPr>
      <xdr:blipFill rotWithShape="1">
        <a:blip xmlns:r="http://schemas.openxmlformats.org/officeDocument/2006/relationships" r:embed="rId1"/>
        <a:srcRect l="86467" t="8586"/>
        <a:stretch/>
      </xdr:blipFill>
      <xdr:spPr>
        <a:xfrm>
          <a:off x="279765125" y="428625"/>
          <a:ext cx="4899821" cy="9525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P66"/>
  <sheetViews>
    <sheetView showGridLines="0" tabSelected="1" zoomScale="50" zoomScaleNormal="50" workbookViewId="0">
      <selection activeCell="E6" sqref="E6:E8"/>
    </sheetView>
  </sheetViews>
  <sheetFormatPr baseColWidth="10" defaultRowHeight="23.25" x14ac:dyDescent="0.35"/>
  <cols>
    <col min="1" max="1" width="11.42578125" style="1"/>
    <col min="2" max="2" width="23.140625" style="1" bestFit="1" customWidth="1"/>
    <col min="3" max="3" width="48.85546875" style="1" bestFit="1" customWidth="1"/>
    <col min="4" max="4" width="55.42578125" style="1" bestFit="1" customWidth="1"/>
    <col min="5" max="6" width="32.140625" style="1" bestFit="1" customWidth="1"/>
    <col min="7" max="7" width="44.42578125" style="1" customWidth="1"/>
    <col min="8" max="10" width="43.85546875" style="1" hidden="1" customWidth="1"/>
    <col min="11" max="11" width="43.85546875" style="1" customWidth="1"/>
    <col min="12" max="12" width="42.5703125" style="1" customWidth="1"/>
    <col min="13" max="13" width="33.5703125" style="1" customWidth="1"/>
    <col min="14" max="14" width="49.5703125" style="1" hidden="1" customWidth="1"/>
    <col min="15" max="15" width="56.7109375" style="1" hidden="1" customWidth="1"/>
    <col min="16" max="16" width="22.140625" style="1" hidden="1" customWidth="1"/>
    <col min="17" max="17" width="31" style="1" customWidth="1"/>
    <col min="18" max="18" width="30.42578125" style="5" customWidth="1"/>
    <col min="19" max="19" width="31.140625" style="5" customWidth="1"/>
    <col min="20" max="20" width="86.28515625" style="5" hidden="1" customWidth="1"/>
    <col min="21" max="21" width="87.140625" style="5" hidden="1" customWidth="1"/>
    <col min="22" max="22" width="78.5703125" style="5" hidden="1" customWidth="1"/>
    <col min="23" max="23" width="58.140625" style="5" hidden="1" customWidth="1"/>
    <col min="24" max="24" width="91.42578125" style="5" hidden="1" customWidth="1"/>
    <col min="25" max="25" width="112.5703125" style="5" hidden="1" customWidth="1"/>
    <col min="26" max="26" width="77.140625" style="5" hidden="1" customWidth="1"/>
    <col min="27" max="27" width="58.140625" style="5" hidden="1" customWidth="1"/>
    <col min="28" max="28" width="90.140625" style="5" hidden="1" customWidth="1"/>
    <col min="29" max="29" width="109.5703125" style="5" hidden="1" customWidth="1"/>
    <col min="30" max="30" width="75.7109375" style="5" hidden="1" customWidth="1"/>
    <col min="31" max="31" width="98.85546875" style="5" hidden="1" customWidth="1"/>
    <col min="32" max="32" width="110.5703125" style="5" hidden="1" customWidth="1"/>
    <col min="33" max="33" width="80.28515625" style="5" hidden="1" customWidth="1"/>
    <col min="34" max="34" width="58.140625" style="5" hidden="1" customWidth="1"/>
    <col min="35" max="35" width="98.28515625" style="5" hidden="1" customWidth="1"/>
    <col min="36" max="36" width="110" style="5" hidden="1" customWidth="1"/>
    <col min="37" max="37" width="80.5703125" style="5" hidden="1" customWidth="1"/>
    <col min="38" max="38" width="58.140625" style="5" hidden="1" customWidth="1"/>
    <col min="39" max="39" width="98.140625" style="5" hidden="1" customWidth="1"/>
    <col min="40" max="40" width="109.7109375" style="5" hidden="1" customWidth="1"/>
    <col min="41" max="41" width="79.5703125" style="5" hidden="1" customWidth="1"/>
    <col min="42" max="42" width="58.140625" style="5" hidden="1" customWidth="1"/>
    <col min="43" max="43" width="102" style="5" hidden="1" customWidth="1"/>
    <col min="44" max="44" width="114.5703125" style="5" hidden="1" customWidth="1"/>
    <col min="45" max="45" width="82.85546875" style="5" hidden="1" customWidth="1"/>
    <col min="46" max="46" width="58.140625" style="5" hidden="1" customWidth="1"/>
    <col min="47" max="47" width="112.42578125" style="5" hidden="1" customWidth="1"/>
    <col min="48" max="48" width="111.7109375" style="5" hidden="1" customWidth="1"/>
    <col min="49" max="49" width="88.5703125" style="5" hidden="1" customWidth="1"/>
    <col min="50" max="50" width="58.140625" style="5" hidden="1" customWidth="1"/>
    <col min="51" max="51" width="68" style="5" hidden="1" customWidth="1"/>
    <col min="52" max="52" width="61.85546875" style="5" hidden="1" customWidth="1"/>
    <col min="53" max="53" width="45.140625" style="5" hidden="1" customWidth="1"/>
    <col min="54" max="54" width="47.28515625" style="5" hidden="1" customWidth="1"/>
    <col min="55" max="55" width="15" style="5" customWidth="1"/>
    <col min="56" max="56" width="19.7109375" style="5" customWidth="1"/>
    <col min="57" max="57" width="20.7109375" style="5" customWidth="1"/>
    <col min="58" max="58" width="22.28515625" style="5" customWidth="1"/>
    <col min="59" max="59" width="16.7109375" style="5" customWidth="1"/>
    <col min="60" max="60" width="22.42578125" style="5" customWidth="1"/>
    <col min="61" max="61" width="23.85546875" style="5" customWidth="1"/>
    <col min="62" max="62" width="20.28515625" style="5" customWidth="1"/>
    <col min="63" max="63" width="43.28515625" style="1" customWidth="1"/>
    <col min="64" max="64" width="32.42578125" style="1" customWidth="1"/>
    <col min="65" max="65" width="13" style="1" customWidth="1"/>
    <col min="66" max="66" width="20" style="7" customWidth="1"/>
    <col min="67" max="67" width="23.85546875" style="5" customWidth="1"/>
    <col min="68" max="74" width="39.5703125" style="5" hidden="1" customWidth="1"/>
    <col min="75" max="75" width="46.7109375" style="5" hidden="1" customWidth="1"/>
    <col min="76" max="76" width="46.85546875" style="5" hidden="1" customWidth="1"/>
    <col min="77" max="81" width="53.140625" style="5" hidden="1" customWidth="1"/>
    <col min="82" max="82" width="40" style="5" customWidth="1"/>
    <col min="83" max="83" width="39.85546875" style="5" customWidth="1"/>
    <col min="84" max="84" width="36" style="5" customWidth="1"/>
    <col min="85" max="85" width="37.85546875" style="5" customWidth="1"/>
    <col min="86" max="86" width="36.42578125" style="5" customWidth="1"/>
    <col min="87" max="89" width="29.5703125" style="5" customWidth="1"/>
    <col min="90" max="90" width="21.28515625" style="1" customWidth="1"/>
    <col min="91" max="91" width="29.42578125" style="1" customWidth="1"/>
    <col min="92" max="92" width="42.42578125" style="1" customWidth="1"/>
    <col min="93" max="93" width="30" style="1" customWidth="1"/>
    <col min="94" max="94" width="58" style="1" customWidth="1"/>
    <col min="95" max="95" width="60.28515625" style="5" bestFit="1" customWidth="1"/>
    <col min="96" max="96" width="54.5703125" style="5" hidden="1" customWidth="1"/>
    <col min="97" max="97" width="44.5703125" style="5" hidden="1" customWidth="1"/>
    <col min="98" max="98" width="44.85546875" style="5" hidden="1" customWidth="1"/>
    <col min="99" max="101" width="44.5703125" style="5" hidden="1" customWidth="1"/>
    <col min="102" max="102" width="36" style="5" hidden="1" customWidth="1"/>
    <col min="103" max="103" width="44.5703125" style="5" hidden="1" customWidth="1"/>
    <col min="104" max="104" width="58" style="5" hidden="1" customWidth="1"/>
    <col min="105" max="106" width="44.5703125" style="5" hidden="1" customWidth="1"/>
    <col min="107" max="113" width="64" style="5" hidden="1" customWidth="1"/>
    <col min="114" max="114" width="71.28515625" style="5" bestFit="1" customWidth="1"/>
    <col min="115" max="115" width="64.85546875" style="5" hidden="1" customWidth="1"/>
    <col min="116" max="116" width="62" style="5" hidden="1" customWidth="1"/>
    <col min="117" max="118" width="64" style="5" customWidth="1"/>
    <col min="119" max="126" width="62.85546875" style="5" customWidth="1"/>
    <col min="127" max="127" width="43.85546875" style="5" customWidth="1"/>
    <col min="128" max="128" width="48.140625" style="5" customWidth="1"/>
    <col min="129" max="129" width="42" style="5" customWidth="1"/>
    <col min="130" max="130" width="79.42578125" style="5" customWidth="1"/>
    <col min="131" max="131" width="113.140625" style="5" hidden="1" customWidth="1"/>
    <col min="132" max="132" width="131.7109375" style="5" hidden="1" customWidth="1"/>
    <col min="133" max="133" width="255.5703125" style="5" hidden="1" customWidth="1"/>
    <col min="134" max="134" width="106.85546875" style="5" hidden="1" customWidth="1"/>
    <col min="135" max="135" width="81.7109375" style="5" hidden="1" customWidth="1"/>
    <col min="136" max="136" width="134.85546875" style="5" hidden="1" customWidth="1"/>
    <col min="137" max="137" width="255.7109375" style="5" hidden="1" customWidth="1"/>
    <col min="138" max="138" width="134.28515625" style="5" hidden="1" customWidth="1"/>
    <col min="139" max="139" width="141" style="5" customWidth="1"/>
    <col min="140" max="140" width="96.5703125" style="5" customWidth="1"/>
    <col min="141" max="141" width="200" style="5" customWidth="1"/>
    <col min="142" max="16384" width="11.42578125" style="1"/>
  </cols>
  <sheetData>
    <row r="1" spans="2:146" ht="23.25" customHeight="1" thickBot="1" x14ac:dyDescent="0.4">
      <c r="B1" s="244"/>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c r="DD1" s="246"/>
      <c r="DE1" s="246"/>
      <c r="DF1" s="246"/>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c r="EG1" s="247"/>
      <c r="EH1" s="247"/>
      <c r="EI1" s="296"/>
      <c r="EJ1" s="296"/>
      <c r="EK1" s="296"/>
    </row>
    <row r="2" spans="2:146" ht="23.25" customHeight="1" x14ac:dyDescent="0.35">
      <c r="B2" s="440" t="s">
        <v>525</v>
      </c>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c r="BD2" s="441"/>
      <c r="BE2" s="441"/>
      <c r="BF2" s="441"/>
      <c r="BG2" s="441"/>
      <c r="BH2" s="410"/>
      <c r="BI2" s="410"/>
      <c r="BJ2" s="410"/>
      <c r="BK2" s="410"/>
      <c r="BL2" s="410"/>
      <c r="BM2" s="410"/>
      <c r="BN2" s="410"/>
      <c r="BO2" s="410"/>
      <c r="BP2" s="410"/>
      <c r="BQ2" s="410"/>
      <c r="BR2" s="410"/>
      <c r="BS2" s="410"/>
      <c r="BT2" s="410"/>
      <c r="BU2" s="410"/>
      <c r="BV2" s="410"/>
      <c r="BW2" s="410"/>
      <c r="BX2" s="410"/>
      <c r="BY2" s="410"/>
      <c r="BZ2" s="410"/>
      <c r="CA2" s="410"/>
      <c r="CB2" s="410"/>
      <c r="CC2" s="410"/>
      <c r="CD2" s="410"/>
      <c r="CE2" s="410"/>
      <c r="CF2" s="410"/>
      <c r="CG2" s="410"/>
      <c r="CH2" s="410"/>
      <c r="CI2" s="410"/>
      <c r="CJ2" s="410"/>
      <c r="CK2" s="410"/>
      <c r="CL2" s="410"/>
      <c r="CM2" s="410"/>
      <c r="CN2" s="410"/>
      <c r="CO2" s="410"/>
      <c r="CP2" s="410"/>
      <c r="CQ2" s="410"/>
      <c r="CR2" s="410"/>
      <c r="CS2" s="410"/>
      <c r="CT2" s="410"/>
      <c r="CU2" s="410"/>
      <c r="CV2" s="410"/>
      <c r="CW2" s="410"/>
      <c r="CX2" s="410"/>
      <c r="CY2" s="410"/>
      <c r="CZ2" s="410"/>
      <c r="DA2" s="410"/>
      <c r="DB2" s="410"/>
      <c r="DC2" s="410"/>
      <c r="DD2" s="410"/>
      <c r="DE2" s="410"/>
      <c r="DF2" s="410"/>
      <c r="DG2" s="410"/>
      <c r="DH2" s="410"/>
      <c r="DI2" s="410"/>
      <c r="DJ2" s="410"/>
      <c r="DK2" s="410"/>
      <c r="DL2" s="410"/>
      <c r="DM2" s="410"/>
      <c r="DN2" s="410"/>
      <c r="DO2" s="410"/>
      <c r="DP2" s="410"/>
      <c r="DQ2" s="410"/>
      <c r="DR2" s="410"/>
      <c r="DS2" s="410"/>
      <c r="DT2" s="410"/>
      <c r="DU2" s="410"/>
      <c r="DV2" s="410"/>
      <c r="DW2" s="410"/>
      <c r="DX2" s="410"/>
      <c r="DY2" s="410"/>
      <c r="DZ2" s="410"/>
      <c r="EA2" s="410"/>
      <c r="EB2" s="410"/>
      <c r="EC2" s="410"/>
      <c r="ED2" s="410"/>
      <c r="EE2" s="410"/>
      <c r="EF2" s="410"/>
      <c r="EG2" s="410"/>
      <c r="EH2" s="410"/>
      <c r="EI2" s="410"/>
      <c r="EJ2" s="410"/>
      <c r="EK2" s="411"/>
    </row>
    <row r="3" spans="2:146" ht="50.25" customHeight="1" x14ac:dyDescent="0.35">
      <c r="B3" s="442"/>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3"/>
      <c r="BG3" s="443"/>
      <c r="BH3" s="412"/>
      <c r="BI3" s="412"/>
      <c r="BJ3" s="412"/>
      <c r="BK3" s="412"/>
      <c r="BL3" s="412"/>
      <c r="BM3" s="412"/>
      <c r="BN3" s="412"/>
      <c r="BO3" s="412"/>
      <c r="BP3" s="412"/>
      <c r="BQ3" s="412"/>
      <c r="BR3" s="412"/>
      <c r="BS3" s="412"/>
      <c r="BT3" s="412"/>
      <c r="BU3" s="412"/>
      <c r="BV3" s="412"/>
      <c r="BW3" s="412"/>
      <c r="BX3" s="412"/>
      <c r="BY3" s="412"/>
      <c r="BZ3" s="412"/>
      <c r="CA3" s="412"/>
      <c r="CB3" s="412"/>
      <c r="CC3" s="412"/>
      <c r="CD3" s="412"/>
      <c r="CE3" s="412"/>
      <c r="CF3" s="412"/>
      <c r="CG3" s="412"/>
      <c r="CH3" s="412"/>
      <c r="CI3" s="412"/>
      <c r="CJ3" s="412"/>
      <c r="CK3" s="412"/>
      <c r="CL3" s="412"/>
      <c r="CM3" s="412"/>
      <c r="CN3" s="412"/>
      <c r="CO3" s="412"/>
      <c r="CP3" s="412"/>
      <c r="CQ3" s="412"/>
      <c r="CR3" s="412"/>
      <c r="CS3" s="412"/>
      <c r="CT3" s="412"/>
      <c r="CU3" s="412"/>
      <c r="CV3" s="412"/>
      <c r="CW3" s="412"/>
      <c r="CX3" s="412"/>
      <c r="CY3" s="412"/>
      <c r="CZ3" s="412"/>
      <c r="DA3" s="412"/>
      <c r="DB3" s="412"/>
      <c r="DC3" s="412"/>
      <c r="DD3" s="412"/>
      <c r="DE3" s="412"/>
      <c r="DF3" s="412"/>
      <c r="DG3" s="412"/>
      <c r="DH3" s="412"/>
      <c r="DI3" s="412"/>
      <c r="DJ3" s="412"/>
      <c r="DK3" s="412"/>
      <c r="DL3" s="412"/>
      <c r="DM3" s="412"/>
      <c r="DN3" s="412"/>
      <c r="DO3" s="412"/>
      <c r="DP3" s="412"/>
      <c r="DQ3" s="412"/>
      <c r="DR3" s="412"/>
      <c r="DS3" s="412"/>
      <c r="DT3" s="412"/>
      <c r="DU3" s="412"/>
      <c r="DV3" s="412"/>
      <c r="DW3" s="412"/>
      <c r="DX3" s="412"/>
      <c r="DY3" s="412"/>
      <c r="DZ3" s="412"/>
      <c r="EA3" s="412"/>
      <c r="EB3" s="412"/>
      <c r="EC3" s="412"/>
      <c r="ED3" s="412"/>
      <c r="EE3" s="412"/>
      <c r="EF3" s="412"/>
      <c r="EG3" s="412"/>
      <c r="EH3" s="412"/>
      <c r="EI3" s="412"/>
      <c r="EJ3" s="412"/>
      <c r="EK3" s="413"/>
    </row>
    <row r="4" spans="2:146" ht="24" customHeight="1" thickBot="1" x14ac:dyDescent="0.4">
      <c r="B4" s="444"/>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14"/>
      <c r="BI4" s="414"/>
      <c r="BJ4" s="414"/>
      <c r="BK4" s="414"/>
      <c r="BL4" s="414"/>
      <c r="BM4" s="414"/>
      <c r="BN4" s="414"/>
      <c r="BO4" s="414"/>
      <c r="BP4" s="414"/>
      <c r="BQ4" s="414"/>
      <c r="BR4" s="414"/>
      <c r="BS4" s="414"/>
      <c r="BT4" s="414"/>
      <c r="BU4" s="414"/>
      <c r="BV4" s="414"/>
      <c r="BW4" s="414"/>
      <c r="BX4" s="414"/>
      <c r="BY4" s="414"/>
      <c r="BZ4" s="414"/>
      <c r="CA4" s="414"/>
      <c r="CB4" s="414"/>
      <c r="CC4" s="414"/>
      <c r="CD4" s="414"/>
      <c r="CE4" s="414"/>
      <c r="CF4" s="414"/>
      <c r="CG4" s="414"/>
      <c r="CH4" s="414"/>
      <c r="CI4" s="414"/>
      <c r="CJ4" s="414"/>
      <c r="CK4" s="414"/>
      <c r="CL4" s="414"/>
      <c r="CM4" s="414"/>
      <c r="CN4" s="414"/>
      <c r="CO4" s="414"/>
      <c r="CP4" s="414"/>
      <c r="CQ4" s="414"/>
      <c r="CR4" s="414"/>
      <c r="CS4" s="414"/>
      <c r="CT4" s="414"/>
      <c r="CU4" s="414"/>
      <c r="CV4" s="414"/>
      <c r="CW4" s="414"/>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5"/>
    </row>
    <row r="5" spans="2:146" ht="127.5" customHeight="1" thickBot="1" x14ac:dyDescent="0.4">
      <c r="B5" s="123" t="s">
        <v>8</v>
      </c>
      <c r="C5" s="123" t="s">
        <v>9</v>
      </c>
      <c r="D5" s="123" t="s">
        <v>10</v>
      </c>
      <c r="E5" s="123" t="s">
        <v>11</v>
      </c>
      <c r="F5" s="123" t="s">
        <v>12</v>
      </c>
      <c r="G5" s="210" t="s">
        <v>337</v>
      </c>
      <c r="H5" s="231" t="s">
        <v>338</v>
      </c>
      <c r="I5" s="278" t="s">
        <v>371</v>
      </c>
      <c r="J5" s="278" t="s">
        <v>440</v>
      </c>
      <c r="K5" s="328" t="s">
        <v>454</v>
      </c>
      <c r="L5" s="338" t="s">
        <v>477</v>
      </c>
      <c r="M5" s="382" t="s">
        <v>510</v>
      </c>
      <c r="N5" s="124" t="s">
        <v>118</v>
      </c>
      <c r="O5" s="124" t="s">
        <v>13</v>
      </c>
      <c r="P5" s="124" t="s">
        <v>11</v>
      </c>
      <c r="Q5" s="124" t="s">
        <v>14</v>
      </c>
      <c r="R5" s="125" t="s">
        <v>15</v>
      </c>
      <c r="S5" s="125" t="s">
        <v>117</v>
      </c>
      <c r="T5" s="125" t="s">
        <v>170</v>
      </c>
      <c r="U5" s="125" t="s">
        <v>171</v>
      </c>
      <c r="V5" s="125" t="s">
        <v>172</v>
      </c>
      <c r="W5" s="125" t="s">
        <v>191</v>
      </c>
      <c r="X5" s="125" t="s">
        <v>208</v>
      </c>
      <c r="Y5" s="125" t="s">
        <v>189</v>
      </c>
      <c r="Z5" s="125" t="s">
        <v>190</v>
      </c>
      <c r="AA5" s="125" t="s">
        <v>191</v>
      </c>
      <c r="AB5" s="125" t="s">
        <v>236</v>
      </c>
      <c r="AC5" s="125" t="s">
        <v>237</v>
      </c>
      <c r="AD5" s="125" t="s">
        <v>238</v>
      </c>
      <c r="AE5" s="126" t="s">
        <v>274</v>
      </c>
      <c r="AF5" s="126" t="s">
        <v>275</v>
      </c>
      <c r="AG5" s="126" t="s">
        <v>276</v>
      </c>
      <c r="AH5" s="126" t="s">
        <v>191</v>
      </c>
      <c r="AI5" s="128" t="s">
        <v>306</v>
      </c>
      <c r="AJ5" s="128" t="s">
        <v>307</v>
      </c>
      <c r="AK5" s="128" t="s">
        <v>308</v>
      </c>
      <c r="AL5" s="128" t="s">
        <v>191</v>
      </c>
      <c r="AM5" s="219" t="s">
        <v>339</v>
      </c>
      <c r="AN5" s="219" t="s">
        <v>340</v>
      </c>
      <c r="AO5" s="219" t="s">
        <v>341</v>
      </c>
      <c r="AP5" s="219" t="s">
        <v>191</v>
      </c>
      <c r="AQ5" s="251" t="s">
        <v>372</v>
      </c>
      <c r="AR5" s="251" t="s">
        <v>373</v>
      </c>
      <c r="AS5" s="251" t="s">
        <v>374</v>
      </c>
      <c r="AT5" s="251" t="s">
        <v>191</v>
      </c>
      <c r="AU5" s="150" t="s">
        <v>407</v>
      </c>
      <c r="AV5" s="150" t="s">
        <v>408</v>
      </c>
      <c r="AW5" s="150" t="s">
        <v>409</v>
      </c>
      <c r="AX5" s="150" t="s">
        <v>191</v>
      </c>
      <c r="AY5" s="225" t="s">
        <v>451</v>
      </c>
      <c r="AZ5" s="225" t="s">
        <v>452</v>
      </c>
      <c r="BA5" s="225" t="s">
        <v>470</v>
      </c>
      <c r="BB5" s="225" t="s">
        <v>191</v>
      </c>
      <c r="BC5" s="339" t="s">
        <v>478</v>
      </c>
      <c r="BD5" s="339" t="s">
        <v>479</v>
      </c>
      <c r="BE5" s="339" t="s">
        <v>480</v>
      </c>
      <c r="BF5" s="339" t="s">
        <v>191</v>
      </c>
      <c r="BG5" s="381" t="s">
        <v>517</v>
      </c>
      <c r="BH5" s="381" t="s">
        <v>521</v>
      </c>
      <c r="BI5" s="381" t="s">
        <v>518</v>
      </c>
      <c r="BJ5" s="381" t="s">
        <v>191</v>
      </c>
      <c r="BK5" s="124" t="s">
        <v>0</v>
      </c>
      <c r="BL5" s="123" t="s">
        <v>19</v>
      </c>
      <c r="BM5" s="123" t="s">
        <v>1</v>
      </c>
      <c r="BN5" s="123" t="s">
        <v>2</v>
      </c>
      <c r="BO5" s="125" t="s">
        <v>119</v>
      </c>
      <c r="BP5" s="127" t="s">
        <v>231</v>
      </c>
      <c r="BQ5" s="128" t="s">
        <v>234</v>
      </c>
      <c r="BR5" s="127" t="s">
        <v>232</v>
      </c>
      <c r="BS5" s="128" t="s">
        <v>233</v>
      </c>
      <c r="BT5" s="127" t="s">
        <v>252</v>
      </c>
      <c r="BU5" s="128" t="s">
        <v>286</v>
      </c>
      <c r="BV5" s="127" t="s">
        <v>287</v>
      </c>
      <c r="BW5" s="128" t="s">
        <v>288</v>
      </c>
      <c r="BX5" s="150" t="s">
        <v>304</v>
      </c>
      <c r="BY5" s="150" t="s">
        <v>305</v>
      </c>
      <c r="BZ5" s="219" t="s">
        <v>332</v>
      </c>
      <c r="CA5" s="219" t="s">
        <v>333</v>
      </c>
      <c r="CB5" s="251" t="s">
        <v>375</v>
      </c>
      <c r="CC5" s="251" t="s">
        <v>376</v>
      </c>
      <c r="CD5" s="150" t="s">
        <v>410</v>
      </c>
      <c r="CE5" s="150" t="s">
        <v>411</v>
      </c>
      <c r="CF5" s="310" t="s">
        <v>449</v>
      </c>
      <c r="CG5" s="310" t="s">
        <v>450</v>
      </c>
      <c r="CH5" s="125" t="s">
        <v>481</v>
      </c>
      <c r="CI5" s="125" t="s">
        <v>482</v>
      </c>
      <c r="CJ5" s="381" t="s">
        <v>515</v>
      </c>
      <c r="CK5" s="381" t="s">
        <v>516</v>
      </c>
      <c r="CL5" s="123" t="s">
        <v>3</v>
      </c>
      <c r="CM5" s="123" t="s">
        <v>4</v>
      </c>
      <c r="CN5" s="124" t="s">
        <v>5</v>
      </c>
      <c r="CO5" s="124" t="s">
        <v>6</v>
      </c>
      <c r="CP5" s="124" t="s">
        <v>120</v>
      </c>
      <c r="CQ5" s="125" t="s">
        <v>193</v>
      </c>
      <c r="CR5" s="129" t="s">
        <v>194</v>
      </c>
      <c r="CS5" s="125" t="s">
        <v>180</v>
      </c>
      <c r="CT5" s="128" t="s">
        <v>251</v>
      </c>
      <c r="CU5" s="125" t="s">
        <v>198</v>
      </c>
      <c r="CV5" s="125" t="s">
        <v>199</v>
      </c>
      <c r="CW5" s="128" t="s">
        <v>250</v>
      </c>
      <c r="CX5" s="128" t="s">
        <v>198</v>
      </c>
      <c r="CY5" s="128" t="s">
        <v>235</v>
      </c>
      <c r="CZ5" s="128" t="s">
        <v>248</v>
      </c>
      <c r="DA5" s="128" t="s">
        <v>198</v>
      </c>
      <c r="DB5" s="128" t="s">
        <v>284</v>
      </c>
      <c r="DC5" s="128" t="s">
        <v>285</v>
      </c>
      <c r="DD5" s="149" t="s">
        <v>198</v>
      </c>
      <c r="DE5" s="149" t="s">
        <v>302</v>
      </c>
      <c r="DF5" s="128" t="s">
        <v>403</v>
      </c>
      <c r="DG5" s="225" t="s">
        <v>198</v>
      </c>
      <c r="DH5" s="225" t="s">
        <v>355</v>
      </c>
      <c r="DI5" s="225" t="s">
        <v>356</v>
      </c>
      <c r="DJ5" s="251" t="s">
        <v>416</v>
      </c>
      <c r="DK5" s="251" t="s">
        <v>377</v>
      </c>
      <c r="DL5" s="251" t="s">
        <v>379</v>
      </c>
      <c r="DM5" s="251" t="s">
        <v>414</v>
      </c>
      <c r="DN5" s="251" t="s">
        <v>412</v>
      </c>
      <c r="DO5" s="251" t="s">
        <v>413</v>
      </c>
      <c r="DP5" s="251" t="s">
        <v>415</v>
      </c>
      <c r="DQ5" s="304" t="s">
        <v>445</v>
      </c>
      <c r="DR5" s="304" t="s">
        <v>446</v>
      </c>
      <c r="DS5" s="304" t="s">
        <v>447</v>
      </c>
      <c r="DT5" s="125" t="s">
        <v>483</v>
      </c>
      <c r="DU5" s="125" t="s">
        <v>484</v>
      </c>
      <c r="DV5" s="125" t="s">
        <v>485</v>
      </c>
      <c r="DW5" s="381" t="s">
        <v>512</v>
      </c>
      <c r="DX5" s="381" t="s">
        <v>513</v>
      </c>
      <c r="DY5" s="381" t="s">
        <v>514</v>
      </c>
      <c r="DZ5" s="130" t="s">
        <v>145</v>
      </c>
      <c r="EA5" s="130" t="s">
        <v>196</v>
      </c>
      <c r="EB5" s="130" t="s">
        <v>210</v>
      </c>
      <c r="EC5" s="131" t="s">
        <v>266</v>
      </c>
      <c r="ED5" s="131" t="s">
        <v>269</v>
      </c>
      <c r="EE5" s="223" t="s">
        <v>303</v>
      </c>
      <c r="EF5" s="224" t="s">
        <v>335</v>
      </c>
      <c r="EG5" s="252" t="s">
        <v>378</v>
      </c>
      <c r="EH5" s="285" t="s">
        <v>417</v>
      </c>
      <c r="EI5" s="224" t="s">
        <v>441</v>
      </c>
      <c r="EJ5" s="355" t="s">
        <v>486</v>
      </c>
      <c r="EK5" s="392" t="s">
        <v>511</v>
      </c>
    </row>
    <row r="6" spans="2:146" s="2" customFormat="1" ht="152.25" customHeight="1" x14ac:dyDescent="0.35">
      <c r="B6" s="659" t="s">
        <v>36</v>
      </c>
      <c r="C6" s="659" t="s">
        <v>37</v>
      </c>
      <c r="D6" s="659" t="s">
        <v>39</v>
      </c>
      <c r="E6" s="450">
        <v>1049212</v>
      </c>
      <c r="F6" s="450">
        <f>+E6*13%</f>
        <v>136397.56</v>
      </c>
      <c r="G6" s="515">
        <v>7.5895785819042508E-2</v>
      </c>
      <c r="H6" s="603">
        <f>(AM6+AM8+AM11+AM30)/F6</f>
        <v>7.7992597521539239E-2</v>
      </c>
      <c r="I6" s="456">
        <f>(AQ6+AQ8+AQ8+AQ11+AQ13+AQ30)/F6</f>
        <v>0.1164903536397572</v>
      </c>
      <c r="J6" s="456">
        <f>(AU6+AU8+AU8+AU11+AU13+AU30)/F6</f>
        <v>0.15301593371611633</v>
      </c>
      <c r="K6" s="627">
        <f>(AY6+AY8+AY11+AY13+AY30+AY10)/F6</f>
        <v>0.17231246658664567</v>
      </c>
      <c r="L6" s="662">
        <f>(BC6+BC7+BC8+BC10+BC11+BC13+BC30)/F6</f>
        <v>0.17576560753726092</v>
      </c>
      <c r="M6" s="458">
        <f>(BG6+BG7+BG8+BG10+BG11+BG13+BG30)/F6</f>
        <v>0.59962216332902141</v>
      </c>
      <c r="N6" s="659" t="s">
        <v>38</v>
      </c>
      <c r="O6" s="659" t="s">
        <v>22</v>
      </c>
      <c r="P6" s="8">
        <v>5260</v>
      </c>
      <c r="Q6" s="9" t="s">
        <v>40</v>
      </c>
      <c r="R6" s="10">
        <v>5400</v>
      </c>
      <c r="S6" s="10">
        <v>4400</v>
      </c>
      <c r="T6" s="67">
        <v>810</v>
      </c>
      <c r="U6" s="59">
        <f t="shared" ref="U6:U14" si="0">T6/S6</f>
        <v>0.18409090909090908</v>
      </c>
      <c r="V6" s="461">
        <f>(U6+U7+U8)/3</f>
        <v>0.39435205972040044</v>
      </c>
      <c r="W6" s="59">
        <f t="shared" ref="W6:W15" si="1">T6/R6</f>
        <v>0.15</v>
      </c>
      <c r="X6" s="84">
        <v>4830</v>
      </c>
      <c r="Y6" s="59">
        <v>1</v>
      </c>
      <c r="Z6" s="461">
        <f>(Y6+Y7+Y8)/3</f>
        <v>0.6695319244049821</v>
      </c>
      <c r="AA6" s="59">
        <f t="shared" ref="AA6:AA15" si="2">X6/R6</f>
        <v>0.89444444444444449</v>
      </c>
      <c r="AB6" s="84">
        <f>X6+278</f>
        <v>5108</v>
      </c>
      <c r="AC6" s="59">
        <v>1</v>
      </c>
      <c r="AD6" s="461">
        <f>(AC6+AC7+AC8)/3</f>
        <v>0.6695319244049821</v>
      </c>
      <c r="AE6" s="84">
        <v>5108</v>
      </c>
      <c r="AF6" s="59">
        <v>1</v>
      </c>
      <c r="AG6" s="461">
        <f>(AF6+AF7+AF8)/3</f>
        <v>0.6695319244049821</v>
      </c>
      <c r="AH6" s="59">
        <f t="shared" ref="AH6:AH15" si="3">AE6/R6</f>
        <v>0.94592592592592595</v>
      </c>
      <c r="AI6" s="84">
        <v>5108</v>
      </c>
      <c r="AJ6" s="59">
        <v>1</v>
      </c>
      <c r="AK6" s="461">
        <f>(AJ6+AJ7+AJ8)/3</f>
        <v>0.67606787211740038</v>
      </c>
      <c r="AL6" s="59">
        <f>AI6/R6</f>
        <v>0.94592592592592595</v>
      </c>
      <c r="AM6" s="84">
        <v>5108</v>
      </c>
      <c r="AN6" s="59">
        <v>1</v>
      </c>
      <c r="AO6" s="461">
        <f>(AN6+AN7+AN8)/3</f>
        <v>0.67606787211740038</v>
      </c>
      <c r="AP6" s="59">
        <f t="shared" ref="AP6:AP15" si="4">AM6/R6</f>
        <v>0.94592592592592595</v>
      </c>
      <c r="AQ6" s="261">
        <v>4849</v>
      </c>
      <c r="AR6" s="262">
        <v>1</v>
      </c>
      <c r="AS6" s="640">
        <f>(AR6+AR7+AR8)/3</f>
        <v>0.69555817610062887</v>
      </c>
      <c r="AT6" s="262">
        <v>1</v>
      </c>
      <c r="AU6" s="95">
        <v>6981</v>
      </c>
      <c r="AV6" s="64">
        <v>1</v>
      </c>
      <c r="AW6" s="599">
        <f>(AV6+AV7+AV8)/3</f>
        <v>0.71498296645702297</v>
      </c>
      <c r="AX6" s="64">
        <v>1</v>
      </c>
      <c r="AY6" s="318">
        <v>6891</v>
      </c>
      <c r="AZ6" s="323">
        <v>1</v>
      </c>
      <c r="BA6" s="507">
        <f>(AZ6+AZ7+AZ8)/3</f>
        <v>0.71596567085953877</v>
      </c>
      <c r="BB6" s="323">
        <v>1</v>
      </c>
      <c r="BC6" s="342">
        <v>6891</v>
      </c>
      <c r="BD6" s="343">
        <v>1</v>
      </c>
      <c r="BE6" s="634">
        <f>(BD6+BD7+BD8)/3</f>
        <v>0.71596567085953877</v>
      </c>
      <c r="BF6" s="343">
        <v>1</v>
      </c>
      <c r="BG6" s="398">
        <v>6587</v>
      </c>
      <c r="BH6" s="379">
        <v>1</v>
      </c>
      <c r="BI6" s="637">
        <f>(BH6+BH7+BH8)/3</f>
        <v>0.71596567085953877</v>
      </c>
      <c r="BJ6" s="379">
        <v>1</v>
      </c>
      <c r="BK6" s="659" t="s">
        <v>522</v>
      </c>
      <c r="BL6" s="739">
        <v>2020130010053</v>
      </c>
      <c r="BM6" s="659" t="s">
        <v>23</v>
      </c>
      <c r="BN6" s="740" t="s">
        <v>111</v>
      </c>
      <c r="BO6" s="10">
        <v>4400</v>
      </c>
      <c r="BP6" s="67">
        <v>810</v>
      </c>
      <c r="BQ6" s="59">
        <f t="shared" ref="BQ6:BQ15" si="5">BP6/R6</f>
        <v>0.15</v>
      </c>
      <c r="BR6" s="84">
        <v>4830</v>
      </c>
      <c r="BS6" s="59">
        <f t="shared" ref="BS6:BS15" si="6">BR6/R6</f>
        <v>0.89444444444444449</v>
      </c>
      <c r="BT6" s="132">
        <f>BR6+278</f>
        <v>5108</v>
      </c>
      <c r="BU6" s="59">
        <f>BT6/R6</f>
        <v>0.94592592592592595</v>
      </c>
      <c r="BV6" s="84">
        <v>5108</v>
      </c>
      <c r="BW6" s="133">
        <f t="shared" ref="BW6:BW15" si="7">BV6/R6</f>
        <v>0.94592592592592595</v>
      </c>
      <c r="BX6" s="84">
        <v>5108</v>
      </c>
      <c r="BY6" s="133">
        <v>1</v>
      </c>
      <c r="BZ6" s="84">
        <v>5108</v>
      </c>
      <c r="CA6" s="133">
        <v>1</v>
      </c>
      <c r="CB6" s="261">
        <v>4849</v>
      </c>
      <c r="CC6" s="268">
        <v>1</v>
      </c>
      <c r="CD6" s="261">
        <v>6981</v>
      </c>
      <c r="CE6" s="268">
        <v>1</v>
      </c>
      <c r="CF6" s="311">
        <v>6891</v>
      </c>
      <c r="CG6" s="312">
        <v>1</v>
      </c>
      <c r="CH6" s="342">
        <v>6891</v>
      </c>
      <c r="CI6" s="346">
        <v>1</v>
      </c>
      <c r="CJ6" s="398">
        <v>6587</v>
      </c>
      <c r="CK6" s="383">
        <v>1</v>
      </c>
      <c r="CL6" s="450" t="s">
        <v>160</v>
      </c>
      <c r="CM6" s="450" t="s">
        <v>158</v>
      </c>
      <c r="CN6" s="450" t="s">
        <v>86</v>
      </c>
      <c r="CO6" s="450" t="s">
        <v>88</v>
      </c>
      <c r="CP6" s="450" t="s">
        <v>148</v>
      </c>
      <c r="CQ6" s="741">
        <v>4720273494</v>
      </c>
      <c r="CR6" s="741">
        <v>5624273494</v>
      </c>
      <c r="CS6" s="477">
        <v>1591751900</v>
      </c>
      <c r="CT6" s="623">
        <f>(CS6+CS8)/(CR6+CR8)</f>
        <v>0.28649435635530446</v>
      </c>
      <c r="CU6" s="477">
        <v>5624273494</v>
      </c>
      <c r="CV6" s="477">
        <v>1653251900</v>
      </c>
      <c r="CW6" s="623">
        <f>(CV6+CV8)/(CU6+CU8)</f>
        <v>0.29632055990015849</v>
      </c>
      <c r="CX6" s="477">
        <v>5624273494</v>
      </c>
      <c r="CY6" s="477">
        <v>1653251900</v>
      </c>
      <c r="CZ6" s="623">
        <f>(CY6+CY8)/(CX6+CX8)</f>
        <v>0.29632055990015849</v>
      </c>
      <c r="DA6" s="477">
        <v>5774165710</v>
      </c>
      <c r="DB6" s="477">
        <v>1659088350</v>
      </c>
      <c r="DC6" s="623">
        <f>(DB6+DB8)/(DA6+DA8)</f>
        <v>0.29030063527502281</v>
      </c>
      <c r="DD6" s="505">
        <v>5774165709.8999996</v>
      </c>
      <c r="DE6" s="505">
        <v>1659088350</v>
      </c>
      <c r="DF6" s="623">
        <f>(DE6+DE8)/(DD6+DD8)</f>
        <v>0.291619162100348</v>
      </c>
      <c r="DG6" s="505">
        <v>5774165709.8999996</v>
      </c>
      <c r="DH6" s="505">
        <v>1661511781.6988299</v>
      </c>
      <c r="DI6" s="623">
        <f>(DH6+DH8)/(DG6+DG8)</f>
        <v>0.29199731117647498</v>
      </c>
      <c r="DJ6" s="586">
        <v>5768329259.8999996</v>
      </c>
      <c r="DK6" s="473">
        <v>1775513781.6900001</v>
      </c>
      <c r="DL6" s="693">
        <f>(DK6+DK8)/(DJ6+DJ8)</f>
        <v>0.31265320954695924</v>
      </c>
      <c r="DM6" s="473">
        <v>2989391400</v>
      </c>
      <c r="DN6" s="473">
        <f>+DJ6-DM6</f>
        <v>2778937859.8999996</v>
      </c>
      <c r="DO6" s="473">
        <v>1964377331.6900001</v>
      </c>
      <c r="DP6" s="482">
        <f>+DO6/DN6</f>
        <v>0.70688062516111405</v>
      </c>
      <c r="DQ6" s="679">
        <v>2784774309.9000001</v>
      </c>
      <c r="DR6" s="679">
        <v>1970213781.6900001</v>
      </c>
      <c r="DS6" s="680">
        <f>+DR6/DQ6</f>
        <v>0.70749495737798207</v>
      </c>
      <c r="DT6" s="766">
        <v>2784774309.9000001</v>
      </c>
      <c r="DU6" s="800">
        <v>1970213781.6900001</v>
      </c>
      <c r="DV6" s="801">
        <f>+DU6/DT6</f>
        <v>0.70749495737798207</v>
      </c>
      <c r="DW6" s="446">
        <v>2784774309.9000001</v>
      </c>
      <c r="DX6" s="446">
        <v>1970213781.6900001</v>
      </c>
      <c r="DY6" s="447">
        <f>+DX6/DW6</f>
        <v>0.70749495737798207</v>
      </c>
      <c r="DZ6" s="673" t="s">
        <v>110</v>
      </c>
      <c r="EA6" s="557" t="s">
        <v>188</v>
      </c>
      <c r="EB6" s="557" t="s">
        <v>211</v>
      </c>
      <c r="EC6" s="556" t="s">
        <v>265</v>
      </c>
      <c r="ED6" s="556" t="s">
        <v>271</v>
      </c>
      <c r="EE6" s="556" t="s">
        <v>317</v>
      </c>
      <c r="EF6" s="798" t="s">
        <v>345</v>
      </c>
      <c r="EG6" s="559" t="s">
        <v>391</v>
      </c>
      <c r="EH6" s="567" t="s">
        <v>433</v>
      </c>
      <c r="EI6" s="546" t="s">
        <v>455</v>
      </c>
      <c r="EJ6" s="786" t="s">
        <v>489</v>
      </c>
      <c r="EK6" s="774" t="s">
        <v>536</v>
      </c>
    </row>
    <row r="7" spans="2:146" s="2" customFormat="1" ht="395.25" customHeight="1" x14ac:dyDescent="0.35">
      <c r="B7" s="659"/>
      <c r="C7" s="659"/>
      <c r="D7" s="659"/>
      <c r="E7" s="450"/>
      <c r="F7" s="450"/>
      <c r="G7" s="516"/>
      <c r="H7" s="604"/>
      <c r="I7" s="514"/>
      <c r="J7" s="514"/>
      <c r="K7" s="628"/>
      <c r="L7" s="663"/>
      <c r="M7" s="459"/>
      <c r="N7" s="659"/>
      <c r="O7" s="659"/>
      <c r="P7" s="8">
        <v>50</v>
      </c>
      <c r="Q7" s="9" t="s">
        <v>121</v>
      </c>
      <c r="R7" s="10">
        <v>54</v>
      </c>
      <c r="S7" s="10">
        <v>51</v>
      </c>
      <c r="T7" s="67">
        <v>50</v>
      </c>
      <c r="U7" s="59">
        <f t="shared" si="0"/>
        <v>0.98039215686274506</v>
      </c>
      <c r="V7" s="462"/>
      <c r="W7" s="59">
        <f t="shared" si="1"/>
        <v>0.92592592592592593</v>
      </c>
      <c r="X7" s="67">
        <v>50</v>
      </c>
      <c r="Y7" s="59">
        <f t="shared" ref="Y7:Y14" si="8">X7/S7</f>
        <v>0.98039215686274506</v>
      </c>
      <c r="Z7" s="462"/>
      <c r="AA7" s="59">
        <f t="shared" si="2"/>
        <v>0.92592592592592593</v>
      </c>
      <c r="AB7" s="67">
        <v>50</v>
      </c>
      <c r="AC7" s="59">
        <f t="shared" ref="AC7:AC14" si="9">AB7/S7</f>
        <v>0.98039215686274506</v>
      </c>
      <c r="AD7" s="462"/>
      <c r="AE7" s="67">
        <v>50</v>
      </c>
      <c r="AF7" s="59">
        <f t="shared" ref="AF7:AF14" si="10">AE7/S7</f>
        <v>0.98039215686274506</v>
      </c>
      <c r="AG7" s="462"/>
      <c r="AH7" s="59">
        <f t="shared" si="3"/>
        <v>0.92592592592592593</v>
      </c>
      <c r="AI7" s="67">
        <f>AE7+1</f>
        <v>51</v>
      </c>
      <c r="AJ7" s="59">
        <f>AI7/S7</f>
        <v>1</v>
      </c>
      <c r="AK7" s="462"/>
      <c r="AL7" s="59">
        <f>AI7/R7</f>
        <v>0.94444444444444442</v>
      </c>
      <c r="AM7" s="67">
        <v>51</v>
      </c>
      <c r="AN7" s="59">
        <f>AM7/S7</f>
        <v>1</v>
      </c>
      <c r="AO7" s="462"/>
      <c r="AP7" s="59">
        <f t="shared" si="4"/>
        <v>0.94444444444444442</v>
      </c>
      <c r="AQ7" s="269">
        <v>51</v>
      </c>
      <c r="AR7" s="262">
        <f>AQ7/S7</f>
        <v>1</v>
      </c>
      <c r="AS7" s="641"/>
      <c r="AT7" s="275">
        <f t="shared" ref="AT7:AT14" si="11">AQ7/R7</f>
        <v>0.94444444444444442</v>
      </c>
      <c r="AU7" s="73">
        <v>51</v>
      </c>
      <c r="AV7" s="64">
        <f>AU7/S7</f>
        <v>1</v>
      </c>
      <c r="AW7" s="600"/>
      <c r="AX7" s="180">
        <f t="shared" ref="AX7:AX14" si="12">AU7/R7</f>
        <v>0.94444444444444442</v>
      </c>
      <c r="AY7" s="320">
        <v>51</v>
      </c>
      <c r="AZ7" s="324">
        <f>AY7/S7</f>
        <v>1</v>
      </c>
      <c r="BA7" s="508"/>
      <c r="BB7" s="324">
        <f t="shared" ref="BB7:BB14" si="13">AY7/R7</f>
        <v>0.94444444444444442</v>
      </c>
      <c r="BC7" s="344">
        <v>51</v>
      </c>
      <c r="BD7" s="345">
        <f>BC7/S7</f>
        <v>1</v>
      </c>
      <c r="BE7" s="635"/>
      <c r="BF7" s="345">
        <f>BC7/R7</f>
        <v>0.94444444444444442</v>
      </c>
      <c r="BG7" s="399">
        <v>51</v>
      </c>
      <c r="BH7" s="380">
        <f>BG7/S7</f>
        <v>1</v>
      </c>
      <c r="BI7" s="638"/>
      <c r="BJ7" s="380">
        <f>BG7/R7</f>
        <v>0.94444444444444442</v>
      </c>
      <c r="BK7" s="659"/>
      <c r="BL7" s="739"/>
      <c r="BM7" s="659"/>
      <c r="BN7" s="740"/>
      <c r="BO7" s="10">
        <v>51</v>
      </c>
      <c r="BP7" s="67">
        <v>50</v>
      </c>
      <c r="BQ7" s="59">
        <f t="shared" si="5"/>
        <v>0.92592592592592593</v>
      </c>
      <c r="BR7" s="67">
        <v>50</v>
      </c>
      <c r="BS7" s="59">
        <f t="shared" si="6"/>
        <v>0.92592592592592593</v>
      </c>
      <c r="BT7" s="67">
        <v>50</v>
      </c>
      <c r="BU7" s="59">
        <f>BT7/R7</f>
        <v>0.92592592592592593</v>
      </c>
      <c r="BV7" s="67">
        <v>50</v>
      </c>
      <c r="BW7" s="133">
        <f t="shared" si="7"/>
        <v>0.92592592592592593</v>
      </c>
      <c r="BX7" s="67">
        <f>50+1</f>
        <v>51</v>
      </c>
      <c r="BY7" s="133">
        <f>BX7/BO7</f>
        <v>1</v>
      </c>
      <c r="BZ7" s="67">
        <f>50+1</f>
        <v>51</v>
      </c>
      <c r="CA7" s="133">
        <f>BZ7/BO7</f>
        <v>1</v>
      </c>
      <c r="CB7" s="269">
        <f>50+1</f>
        <v>51</v>
      </c>
      <c r="CC7" s="268">
        <f>CB7/BO7</f>
        <v>1</v>
      </c>
      <c r="CD7" s="269">
        <f>50+1</f>
        <v>51</v>
      </c>
      <c r="CE7" s="268">
        <f>+CD7/BO7</f>
        <v>1</v>
      </c>
      <c r="CF7" s="313">
        <f>50+1</f>
        <v>51</v>
      </c>
      <c r="CG7" s="312">
        <f>CF7/BO7</f>
        <v>1</v>
      </c>
      <c r="CH7" s="344">
        <f>50+1</f>
        <v>51</v>
      </c>
      <c r="CI7" s="346">
        <f>CH7/BO7</f>
        <v>1</v>
      </c>
      <c r="CJ7" s="399">
        <f>50+1</f>
        <v>51</v>
      </c>
      <c r="CK7" s="383">
        <f>CJ7/BO7</f>
        <v>1</v>
      </c>
      <c r="CL7" s="450"/>
      <c r="CM7" s="450"/>
      <c r="CN7" s="450"/>
      <c r="CO7" s="450"/>
      <c r="CP7" s="450"/>
      <c r="CQ7" s="741"/>
      <c r="CR7" s="741"/>
      <c r="CS7" s="478"/>
      <c r="CT7" s="624"/>
      <c r="CU7" s="478"/>
      <c r="CV7" s="478"/>
      <c r="CW7" s="624"/>
      <c r="CX7" s="478"/>
      <c r="CY7" s="478"/>
      <c r="CZ7" s="624"/>
      <c r="DA7" s="478"/>
      <c r="DB7" s="478"/>
      <c r="DC7" s="624"/>
      <c r="DD7" s="505"/>
      <c r="DE7" s="505"/>
      <c r="DF7" s="624"/>
      <c r="DG7" s="505"/>
      <c r="DH7" s="505"/>
      <c r="DI7" s="624"/>
      <c r="DJ7" s="473"/>
      <c r="DK7" s="473"/>
      <c r="DL7" s="694"/>
      <c r="DM7" s="473"/>
      <c r="DN7" s="473"/>
      <c r="DO7" s="473"/>
      <c r="DP7" s="473"/>
      <c r="DQ7" s="679"/>
      <c r="DR7" s="679"/>
      <c r="DS7" s="679"/>
      <c r="DT7" s="766"/>
      <c r="DU7" s="800"/>
      <c r="DV7" s="802"/>
      <c r="DW7" s="446"/>
      <c r="DX7" s="446"/>
      <c r="DY7" s="448"/>
      <c r="DZ7" s="673"/>
      <c r="EA7" s="557"/>
      <c r="EB7" s="557"/>
      <c r="EC7" s="556"/>
      <c r="ED7" s="556"/>
      <c r="EE7" s="556"/>
      <c r="EF7" s="556"/>
      <c r="EG7" s="560"/>
      <c r="EH7" s="568"/>
      <c r="EI7" s="547"/>
      <c r="EJ7" s="787"/>
      <c r="EK7" s="775"/>
    </row>
    <row r="8" spans="2:146" s="2" customFormat="1" ht="409.5" customHeight="1" x14ac:dyDescent="0.35">
      <c r="B8" s="659"/>
      <c r="C8" s="659"/>
      <c r="D8" s="659"/>
      <c r="E8" s="450"/>
      <c r="F8" s="450"/>
      <c r="G8" s="517"/>
      <c r="H8" s="605"/>
      <c r="I8" s="457"/>
      <c r="J8" s="457"/>
      <c r="K8" s="629"/>
      <c r="L8" s="664"/>
      <c r="M8" s="460"/>
      <c r="N8" s="659"/>
      <c r="O8" s="9" t="s">
        <v>28</v>
      </c>
      <c r="P8" s="8">
        <v>10176</v>
      </c>
      <c r="Q8" s="9" t="s">
        <v>41</v>
      </c>
      <c r="R8" s="10">
        <v>10176</v>
      </c>
      <c r="S8" s="10">
        <v>10176</v>
      </c>
      <c r="T8" s="67">
        <v>189</v>
      </c>
      <c r="U8" s="59">
        <f t="shared" si="0"/>
        <v>1.8573113207547169E-2</v>
      </c>
      <c r="V8" s="463"/>
      <c r="W8" s="59">
        <f t="shared" si="1"/>
        <v>1.8573113207547169E-2</v>
      </c>
      <c r="X8" s="67">
        <f>T8+98</f>
        <v>287</v>
      </c>
      <c r="Y8" s="59">
        <f t="shared" si="8"/>
        <v>2.8203616352201259E-2</v>
      </c>
      <c r="Z8" s="463"/>
      <c r="AA8" s="59">
        <f t="shared" si="2"/>
        <v>2.8203616352201259E-2</v>
      </c>
      <c r="AB8" s="67">
        <f>X8</f>
        <v>287</v>
      </c>
      <c r="AC8" s="59">
        <f t="shared" si="9"/>
        <v>2.8203616352201259E-2</v>
      </c>
      <c r="AD8" s="463"/>
      <c r="AE8" s="67">
        <v>287</v>
      </c>
      <c r="AF8" s="59">
        <f t="shared" si="10"/>
        <v>2.8203616352201259E-2</v>
      </c>
      <c r="AG8" s="463"/>
      <c r="AH8" s="59">
        <f t="shared" si="3"/>
        <v>2.8203616352201259E-2</v>
      </c>
      <c r="AI8" s="67">
        <v>287</v>
      </c>
      <c r="AJ8" s="59">
        <f>AI8/S8</f>
        <v>2.8203616352201259E-2</v>
      </c>
      <c r="AK8" s="463"/>
      <c r="AL8" s="59">
        <f t="shared" ref="AL8:AL15" si="14">AI8/R8</f>
        <v>2.8203616352201259E-2</v>
      </c>
      <c r="AM8" s="67">
        <v>287</v>
      </c>
      <c r="AN8" s="59">
        <f>AM8/S8</f>
        <v>2.8203616352201259E-2</v>
      </c>
      <c r="AO8" s="463"/>
      <c r="AP8" s="59">
        <f t="shared" si="4"/>
        <v>2.8203616352201259E-2</v>
      </c>
      <c r="AQ8" s="261">
        <f>287+595</f>
        <v>882</v>
      </c>
      <c r="AR8" s="268">
        <f>AQ8/R8</f>
        <v>8.6674528301886794E-2</v>
      </c>
      <c r="AS8" s="642"/>
      <c r="AT8" s="262">
        <f t="shared" si="11"/>
        <v>8.6674528301886794E-2</v>
      </c>
      <c r="AU8" s="95">
        <v>1475</v>
      </c>
      <c r="AV8" s="143">
        <f>AU8/S8</f>
        <v>0.1449488993710692</v>
      </c>
      <c r="AW8" s="601"/>
      <c r="AX8" s="64">
        <f t="shared" si="12"/>
        <v>0.1449488993710692</v>
      </c>
      <c r="AY8" s="318">
        <f>AU8+30</f>
        <v>1505</v>
      </c>
      <c r="AZ8" s="319">
        <f>AY8/S8</f>
        <v>0.14789701257861634</v>
      </c>
      <c r="BA8" s="509"/>
      <c r="BB8" s="323">
        <f t="shared" si="13"/>
        <v>0.14789701257861634</v>
      </c>
      <c r="BC8" s="342">
        <v>1505</v>
      </c>
      <c r="BD8" s="343">
        <f>BC8/S8</f>
        <v>0.14789701257861634</v>
      </c>
      <c r="BE8" s="636"/>
      <c r="BF8" s="343">
        <f>BC8/R8</f>
        <v>0.14789701257861634</v>
      </c>
      <c r="BG8" s="398">
        <v>1505</v>
      </c>
      <c r="BH8" s="379">
        <f>BG8/S8</f>
        <v>0.14789701257861634</v>
      </c>
      <c r="BI8" s="639"/>
      <c r="BJ8" s="379">
        <f>BG8/R8</f>
        <v>0.14789701257861634</v>
      </c>
      <c r="BK8" s="11" t="s">
        <v>29</v>
      </c>
      <c r="BL8" s="53">
        <v>2020130010194</v>
      </c>
      <c r="BM8" s="11" t="s">
        <v>30</v>
      </c>
      <c r="BN8" s="11" t="s">
        <v>87</v>
      </c>
      <c r="BO8" s="10">
        <v>10176</v>
      </c>
      <c r="BP8" s="67">
        <v>189</v>
      </c>
      <c r="BQ8" s="59">
        <f t="shared" si="5"/>
        <v>1.8573113207547169E-2</v>
      </c>
      <c r="BR8" s="67">
        <f>BP8+98</f>
        <v>287</v>
      </c>
      <c r="BS8" s="59">
        <f t="shared" si="6"/>
        <v>2.8203616352201259E-2</v>
      </c>
      <c r="BT8" s="67">
        <f>BP8+98</f>
        <v>287</v>
      </c>
      <c r="BU8" s="59">
        <f>BT8/R8</f>
        <v>2.8203616352201259E-2</v>
      </c>
      <c r="BV8" s="67">
        <f>BT8</f>
        <v>287</v>
      </c>
      <c r="BW8" s="133">
        <f t="shared" si="7"/>
        <v>2.8203616352201259E-2</v>
      </c>
      <c r="BX8" s="67">
        <f>BV8</f>
        <v>287</v>
      </c>
      <c r="BY8" s="133">
        <f>BX8/BO8</f>
        <v>2.8203616352201259E-2</v>
      </c>
      <c r="BZ8" s="220">
        <v>287</v>
      </c>
      <c r="CA8" s="133">
        <f>BZ8/BO8</f>
        <v>2.8203616352201259E-2</v>
      </c>
      <c r="CB8" s="261">
        <f>287+595</f>
        <v>882</v>
      </c>
      <c r="CC8" s="268">
        <f>CB8/BO8</f>
        <v>8.6674528301886794E-2</v>
      </c>
      <c r="CD8" s="261">
        <v>1475</v>
      </c>
      <c r="CE8" s="268">
        <f>+CD8/BO8</f>
        <v>0.1449488993710692</v>
      </c>
      <c r="CF8" s="311">
        <f>1475+30</f>
        <v>1505</v>
      </c>
      <c r="CG8" s="312">
        <f>CF8/BO8</f>
        <v>0.14789701257861634</v>
      </c>
      <c r="CH8" s="342">
        <f>1475+30</f>
        <v>1505</v>
      </c>
      <c r="CI8" s="346">
        <f>CH8/BO8</f>
        <v>0.14789701257861634</v>
      </c>
      <c r="CJ8" s="398">
        <f>1475+30</f>
        <v>1505</v>
      </c>
      <c r="CK8" s="383">
        <f>CJ8/BO8</f>
        <v>0.14789701257861634</v>
      </c>
      <c r="CL8" s="13" t="s">
        <v>160</v>
      </c>
      <c r="CM8" s="12" t="s">
        <v>158</v>
      </c>
      <c r="CN8" s="13" t="s">
        <v>86</v>
      </c>
      <c r="CO8" s="11" t="s">
        <v>88</v>
      </c>
      <c r="CP8" s="13" t="s">
        <v>146</v>
      </c>
      <c r="CQ8" s="85">
        <v>838501802</v>
      </c>
      <c r="CR8" s="85">
        <v>634501802</v>
      </c>
      <c r="CS8" s="85">
        <v>201351900</v>
      </c>
      <c r="CT8" s="625"/>
      <c r="CU8" s="85">
        <v>634501802</v>
      </c>
      <c r="CV8" s="85">
        <v>201351900</v>
      </c>
      <c r="CW8" s="625"/>
      <c r="CX8" s="85">
        <v>634501802</v>
      </c>
      <c r="CY8" s="85">
        <v>201351900</v>
      </c>
      <c r="CZ8" s="625"/>
      <c r="DA8" s="119">
        <v>634501802</v>
      </c>
      <c r="DB8" s="119">
        <v>201351900</v>
      </c>
      <c r="DC8" s="625"/>
      <c r="DD8" s="119">
        <v>634501802</v>
      </c>
      <c r="DE8" s="119">
        <v>209801900</v>
      </c>
      <c r="DF8" s="625"/>
      <c r="DG8" s="119">
        <v>634501802</v>
      </c>
      <c r="DH8" s="119">
        <v>209801900</v>
      </c>
      <c r="DI8" s="625"/>
      <c r="DJ8" s="255">
        <v>634501802</v>
      </c>
      <c r="DK8" s="255">
        <v>226351900</v>
      </c>
      <c r="DL8" s="695"/>
      <c r="DM8" s="255">
        <v>296000000</v>
      </c>
      <c r="DN8" s="255">
        <f>+DJ8-DM8</f>
        <v>338501802</v>
      </c>
      <c r="DO8" s="255">
        <v>226351900</v>
      </c>
      <c r="DP8" s="303">
        <f>+DO8/DN8</f>
        <v>0.66868742991211605</v>
      </c>
      <c r="DQ8" s="305">
        <v>412086085</v>
      </c>
      <c r="DR8" s="305">
        <v>271067231</v>
      </c>
      <c r="DS8" s="329">
        <f>+DR8/DQ8</f>
        <v>0.65779273037088837</v>
      </c>
      <c r="DT8" s="371">
        <v>412086085</v>
      </c>
      <c r="DU8" s="372">
        <v>273798569</v>
      </c>
      <c r="DV8" s="351">
        <f>+DU8/DT8</f>
        <v>0.66442080663801106</v>
      </c>
      <c r="DW8" s="420">
        <v>412086085</v>
      </c>
      <c r="DX8" s="420">
        <v>273798569</v>
      </c>
      <c r="DY8" s="388">
        <f>DX8/DW8</f>
        <v>0.66442080663801106</v>
      </c>
      <c r="DZ8" s="54" t="s">
        <v>112</v>
      </c>
      <c r="EA8" s="158" t="s">
        <v>184</v>
      </c>
      <c r="EB8" s="158" t="s">
        <v>212</v>
      </c>
      <c r="EC8" s="165" t="s">
        <v>261</v>
      </c>
      <c r="ED8" s="165" t="s">
        <v>293</v>
      </c>
      <c r="EE8" s="179" t="s">
        <v>312</v>
      </c>
      <c r="EF8" s="179" t="s">
        <v>344</v>
      </c>
      <c r="EG8" s="263" t="s">
        <v>383</v>
      </c>
      <c r="EH8" s="286" t="s">
        <v>432</v>
      </c>
      <c r="EI8" s="298" t="s">
        <v>456</v>
      </c>
      <c r="EJ8" s="357" t="s">
        <v>490</v>
      </c>
      <c r="EK8" s="409" t="s">
        <v>523</v>
      </c>
      <c r="EP8" s="2">
        <v>0</v>
      </c>
    </row>
    <row r="9" spans="2:146" s="2" customFormat="1" ht="408.75" customHeight="1" x14ac:dyDescent="0.35">
      <c r="B9" s="454" t="s">
        <v>36</v>
      </c>
      <c r="C9" s="454" t="s">
        <v>37</v>
      </c>
      <c r="D9" s="454" t="s">
        <v>39</v>
      </c>
      <c r="E9" s="657">
        <v>1049212</v>
      </c>
      <c r="F9" s="657">
        <f>+E9*13%</f>
        <v>136397.56</v>
      </c>
      <c r="G9" s="515">
        <v>7.5895785819042508E-2</v>
      </c>
      <c r="H9" s="603">
        <v>7.7992597521539239E-2</v>
      </c>
      <c r="I9" s="456">
        <v>0.1164903536397572</v>
      </c>
      <c r="J9" s="456">
        <f>+J6</f>
        <v>0.15301593371611633</v>
      </c>
      <c r="K9" s="627">
        <v>0.17231246658664567</v>
      </c>
      <c r="L9" s="634">
        <v>0.17576560753726092</v>
      </c>
      <c r="M9" s="637">
        <v>0.59962216332902141</v>
      </c>
      <c r="N9" s="454" t="s">
        <v>42</v>
      </c>
      <c r="O9" s="14" t="s">
        <v>44</v>
      </c>
      <c r="P9" s="15">
        <v>375</v>
      </c>
      <c r="Q9" s="14" t="s">
        <v>43</v>
      </c>
      <c r="R9" s="16">
        <v>400</v>
      </c>
      <c r="S9" s="16">
        <v>100</v>
      </c>
      <c r="T9" s="68">
        <v>0</v>
      </c>
      <c r="U9" s="60">
        <f t="shared" si="0"/>
        <v>0</v>
      </c>
      <c r="V9" s="451">
        <f>(U9+U10+U11+U12)/4</f>
        <v>0</v>
      </c>
      <c r="W9" s="60">
        <f t="shared" si="1"/>
        <v>0</v>
      </c>
      <c r="X9" s="68">
        <v>0</v>
      </c>
      <c r="Y9" s="60">
        <f t="shared" si="8"/>
        <v>0</v>
      </c>
      <c r="Z9" s="451">
        <f>(Y9+Y10+Y11+Y12)/4</f>
        <v>0</v>
      </c>
      <c r="AA9" s="60">
        <f t="shared" si="2"/>
        <v>0</v>
      </c>
      <c r="AB9" s="68">
        <v>0</v>
      </c>
      <c r="AC9" s="60">
        <f t="shared" si="9"/>
        <v>0</v>
      </c>
      <c r="AD9" s="451">
        <f>(AC9+AC10+AC11+AC12)/4</f>
        <v>0</v>
      </c>
      <c r="AE9" s="68">
        <v>0</v>
      </c>
      <c r="AF9" s="60">
        <f t="shared" si="10"/>
        <v>0</v>
      </c>
      <c r="AG9" s="451">
        <f>(AF9+AF10+AF11+AF12)/4</f>
        <v>0.25</v>
      </c>
      <c r="AH9" s="60">
        <f t="shared" si="3"/>
        <v>0</v>
      </c>
      <c r="AI9" s="68">
        <v>0</v>
      </c>
      <c r="AJ9" s="60">
        <f>AI9/S9</f>
        <v>0</v>
      </c>
      <c r="AK9" s="451">
        <f>(AJ9+AJ10+AJ11+AJ12)/4</f>
        <v>0.3</v>
      </c>
      <c r="AL9" s="60">
        <f t="shared" si="14"/>
        <v>0</v>
      </c>
      <c r="AM9" s="68">
        <v>0</v>
      </c>
      <c r="AN9" s="60">
        <f>AM9/S9</f>
        <v>0</v>
      </c>
      <c r="AO9" s="451">
        <f>(AN9+AN10+AN11+AN12)/4</f>
        <v>0.5</v>
      </c>
      <c r="AP9" s="60">
        <f t="shared" si="4"/>
        <v>0</v>
      </c>
      <c r="AQ9" s="269">
        <v>51</v>
      </c>
      <c r="AR9" s="262">
        <f>AQ9/S9</f>
        <v>0.51</v>
      </c>
      <c r="AS9" s="640">
        <f>(AR9+AR10+AR11+AR12)/4</f>
        <v>0.62749999999999995</v>
      </c>
      <c r="AT9" s="262">
        <f t="shared" si="11"/>
        <v>0.1275</v>
      </c>
      <c r="AU9" s="73">
        <v>51</v>
      </c>
      <c r="AV9" s="64">
        <f>AU9/S9</f>
        <v>0.51</v>
      </c>
      <c r="AW9" s="599">
        <f>(AV9+AV10+AV11+AV12)/4</f>
        <v>0.62749999999999995</v>
      </c>
      <c r="AX9" s="64">
        <f t="shared" si="12"/>
        <v>0.1275</v>
      </c>
      <c r="AY9" s="320">
        <v>51</v>
      </c>
      <c r="AZ9" s="323">
        <f>AY9/S9</f>
        <v>0.51</v>
      </c>
      <c r="BA9" s="507">
        <f>(AZ9+AZ10+AZ11+AZ12)/4</f>
        <v>0.87749999999999995</v>
      </c>
      <c r="BB9" s="323">
        <f t="shared" si="13"/>
        <v>0.1275</v>
      </c>
      <c r="BC9" s="344">
        <v>51</v>
      </c>
      <c r="BD9" s="343">
        <f>BC9/S9</f>
        <v>0.51</v>
      </c>
      <c r="BE9" s="634">
        <f>(BD9+BD10+BD11+BD12)/4</f>
        <v>0.87749999999999995</v>
      </c>
      <c r="BF9" s="343">
        <f>BC9/R9</f>
        <v>0.1275</v>
      </c>
      <c r="BG9" s="400">
        <v>51</v>
      </c>
      <c r="BH9" s="379">
        <f>BG9/S9</f>
        <v>0.51</v>
      </c>
      <c r="BI9" s="637">
        <f>(BH9+BH10+BH11+BH12)/4</f>
        <v>0.87749999999999995</v>
      </c>
      <c r="BJ9" s="379">
        <f>BG9/R9</f>
        <v>0.1275</v>
      </c>
      <c r="BK9" s="454" t="s">
        <v>24</v>
      </c>
      <c r="BL9" s="661">
        <v>2020130010038</v>
      </c>
      <c r="BM9" s="454" t="s">
        <v>25</v>
      </c>
      <c r="BN9" s="658" t="s">
        <v>113</v>
      </c>
      <c r="BO9" s="16">
        <v>100</v>
      </c>
      <c r="BP9" s="68">
        <v>0</v>
      </c>
      <c r="BQ9" s="60">
        <f t="shared" si="5"/>
        <v>0</v>
      </c>
      <c r="BR9" s="68">
        <v>0</v>
      </c>
      <c r="BS9" s="60">
        <f t="shared" si="6"/>
        <v>0</v>
      </c>
      <c r="BT9" s="68">
        <v>0</v>
      </c>
      <c r="BU9" s="60">
        <f>BT9/P9</f>
        <v>0</v>
      </c>
      <c r="BV9" s="68">
        <v>0</v>
      </c>
      <c r="BW9" s="134">
        <f t="shared" si="7"/>
        <v>0</v>
      </c>
      <c r="BX9" s="68">
        <v>0</v>
      </c>
      <c r="BY9" s="133">
        <f>BX9/BO9</f>
        <v>0</v>
      </c>
      <c r="BZ9" s="235">
        <v>0</v>
      </c>
      <c r="CA9" s="134">
        <f>BZ9/BO9</f>
        <v>0</v>
      </c>
      <c r="CB9" s="270">
        <v>51</v>
      </c>
      <c r="CC9" s="268">
        <f>CB9/BO9</f>
        <v>0.51</v>
      </c>
      <c r="CD9" s="270">
        <v>51</v>
      </c>
      <c r="CE9" s="268">
        <f>+CD9/BO9</f>
        <v>0.51</v>
      </c>
      <c r="CF9" s="314">
        <v>51</v>
      </c>
      <c r="CG9" s="312">
        <f>CF9/BO9</f>
        <v>0.51</v>
      </c>
      <c r="CH9" s="364">
        <v>51</v>
      </c>
      <c r="CI9" s="346">
        <f>CH9/BO9</f>
        <v>0.51</v>
      </c>
      <c r="CJ9" s="400">
        <v>51</v>
      </c>
      <c r="CK9" s="383">
        <f>CJ9/BO9</f>
        <v>0.51</v>
      </c>
      <c r="CL9" s="657" t="s">
        <v>160</v>
      </c>
      <c r="CM9" s="657" t="s">
        <v>158</v>
      </c>
      <c r="CN9" s="454" t="s">
        <v>86</v>
      </c>
      <c r="CO9" s="454" t="s">
        <v>88</v>
      </c>
      <c r="CP9" s="454" t="s">
        <v>147</v>
      </c>
      <c r="CQ9" s="817">
        <v>5020975672</v>
      </c>
      <c r="CR9" s="681">
        <v>3916945672</v>
      </c>
      <c r="CS9" s="681">
        <v>707401900</v>
      </c>
      <c r="CT9" s="702">
        <f>CS9/CR9</f>
        <v>0.18060038592232994</v>
      </c>
      <c r="CU9" s="681">
        <v>3916945672</v>
      </c>
      <c r="CV9" s="681">
        <v>707401900</v>
      </c>
      <c r="CW9" s="702">
        <f>CV9/CU9</f>
        <v>0.18060038592232994</v>
      </c>
      <c r="CX9" s="681">
        <v>3916945672</v>
      </c>
      <c r="CY9" s="681">
        <v>707401900</v>
      </c>
      <c r="CZ9" s="702">
        <f>CY9/CX9</f>
        <v>0.18060038592232994</v>
      </c>
      <c r="DA9" s="681">
        <v>4850243462</v>
      </c>
      <c r="DB9" s="681">
        <v>752568500</v>
      </c>
      <c r="DC9" s="702">
        <f>DB9/DA9</f>
        <v>0.15516097406163568</v>
      </c>
      <c r="DD9" s="681">
        <v>4850243462.6300001</v>
      </c>
      <c r="DE9" s="681">
        <v>1730868216.6900001</v>
      </c>
      <c r="DF9" s="702">
        <f>DE9/DD9</f>
        <v>0.35686213074167056</v>
      </c>
      <c r="DG9" s="681">
        <v>4850243462.4300003</v>
      </c>
      <c r="DH9" s="681">
        <v>1755589969.5699999</v>
      </c>
      <c r="DI9" s="702">
        <f>DH9/DG9</f>
        <v>0.36195914352935166</v>
      </c>
      <c r="DJ9" s="587">
        <v>4828511462.4300003</v>
      </c>
      <c r="DK9" s="581">
        <v>2183097469.5700002</v>
      </c>
      <c r="DL9" s="693">
        <f>DK9/DJ9</f>
        <v>0.4521263926898359</v>
      </c>
      <c r="DM9" s="581">
        <v>1895970000</v>
      </c>
      <c r="DN9" s="581">
        <f>+DJ9-DM9</f>
        <v>2932541462.4300003</v>
      </c>
      <c r="DO9" s="581">
        <v>2149365469.5700002</v>
      </c>
      <c r="DP9" s="670">
        <f>+DO9/DN9</f>
        <v>0.73293608874977856</v>
      </c>
      <c r="DQ9" s="681">
        <v>2954273462.4299998</v>
      </c>
      <c r="DR9" s="681">
        <v>2191097469.5700002</v>
      </c>
      <c r="DS9" s="702">
        <f>+DR9/DQ9</f>
        <v>0.74167049781767358</v>
      </c>
      <c r="DT9" s="767">
        <v>2954273462.4299998</v>
      </c>
      <c r="DU9" s="767">
        <v>2191097469.5700002</v>
      </c>
      <c r="DV9" s="770">
        <f>+DU9/DT9</f>
        <v>0.74167049781767358</v>
      </c>
      <c r="DW9" s="431">
        <v>2954273462.4299998</v>
      </c>
      <c r="DX9" s="434">
        <v>2177597469.5700002</v>
      </c>
      <c r="DY9" s="437">
        <f>DX9/DW9</f>
        <v>0.73710084637149509</v>
      </c>
      <c r="DZ9" s="674" t="s">
        <v>128</v>
      </c>
      <c r="EA9" s="614" t="s">
        <v>183</v>
      </c>
      <c r="EB9" s="110" t="s">
        <v>213</v>
      </c>
      <c r="EC9" s="166" t="s">
        <v>264</v>
      </c>
      <c r="ED9" s="166" t="s">
        <v>272</v>
      </c>
      <c r="EE9" s="166" t="s">
        <v>318</v>
      </c>
      <c r="EF9" s="166" t="s">
        <v>388</v>
      </c>
      <c r="EG9" s="260" t="s">
        <v>389</v>
      </c>
      <c r="EH9" s="294" t="s">
        <v>430</v>
      </c>
      <c r="EI9" s="110" t="s">
        <v>472</v>
      </c>
      <c r="EJ9" s="358" t="s">
        <v>491</v>
      </c>
      <c r="EK9" s="393" t="s">
        <v>526</v>
      </c>
    </row>
    <row r="10" spans="2:146" s="2" customFormat="1" ht="266.25" customHeight="1" x14ac:dyDescent="0.35">
      <c r="B10" s="454"/>
      <c r="C10" s="454"/>
      <c r="D10" s="454"/>
      <c r="E10" s="657"/>
      <c r="F10" s="657"/>
      <c r="G10" s="516"/>
      <c r="H10" s="604"/>
      <c r="I10" s="514"/>
      <c r="J10" s="514"/>
      <c r="K10" s="628"/>
      <c r="L10" s="635"/>
      <c r="M10" s="638"/>
      <c r="N10" s="454"/>
      <c r="O10" s="14" t="s">
        <v>46</v>
      </c>
      <c r="P10" s="15">
        <v>0</v>
      </c>
      <c r="Q10" s="14" t="s">
        <v>45</v>
      </c>
      <c r="R10" s="16">
        <v>4000</v>
      </c>
      <c r="S10" s="16">
        <v>1000</v>
      </c>
      <c r="T10" s="68">
        <v>0</v>
      </c>
      <c r="U10" s="60">
        <f t="shared" si="0"/>
        <v>0</v>
      </c>
      <c r="V10" s="452"/>
      <c r="W10" s="60">
        <f t="shared" si="1"/>
        <v>0</v>
      </c>
      <c r="X10" s="68">
        <v>0</v>
      </c>
      <c r="Y10" s="60">
        <f t="shared" si="8"/>
        <v>0</v>
      </c>
      <c r="Z10" s="452"/>
      <c r="AA10" s="60">
        <f t="shared" si="2"/>
        <v>0</v>
      </c>
      <c r="AB10" s="68">
        <v>0</v>
      </c>
      <c r="AC10" s="60">
        <f t="shared" si="9"/>
        <v>0</v>
      </c>
      <c r="AD10" s="452"/>
      <c r="AE10" s="68">
        <v>0</v>
      </c>
      <c r="AF10" s="60">
        <f t="shared" si="10"/>
        <v>0</v>
      </c>
      <c r="AG10" s="452"/>
      <c r="AH10" s="60">
        <f t="shared" si="3"/>
        <v>0</v>
      </c>
      <c r="AI10" s="68">
        <v>0</v>
      </c>
      <c r="AJ10" s="60">
        <f>AI10/S10</f>
        <v>0</v>
      </c>
      <c r="AK10" s="452"/>
      <c r="AL10" s="60">
        <f t="shared" si="14"/>
        <v>0</v>
      </c>
      <c r="AM10" s="68">
        <v>0</v>
      </c>
      <c r="AN10" s="60">
        <f>AM10/S10</f>
        <v>0</v>
      </c>
      <c r="AO10" s="452"/>
      <c r="AP10" s="60">
        <f t="shared" si="4"/>
        <v>0</v>
      </c>
      <c r="AQ10" s="269">
        <v>0</v>
      </c>
      <c r="AR10" s="262">
        <f>AQ10/S10</f>
        <v>0</v>
      </c>
      <c r="AS10" s="641"/>
      <c r="AT10" s="262">
        <f t="shared" si="11"/>
        <v>0</v>
      </c>
      <c r="AU10" s="73">
        <v>0</v>
      </c>
      <c r="AV10" s="64">
        <f>AU10/S10</f>
        <v>0</v>
      </c>
      <c r="AW10" s="600"/>
      <c r="AX10" s="64">
        <f t="shared" si="12"/>
        <v>0</v>
      </c>
      <c r="AY10" s="318">
        <v>1475</v>
      </c>
      <c r="AZ10" s="323">
        <v>1</v>
      </c>
      <c r="BA10" s="508"/>
      <c r="BB10" s="323">
        <f t="shared" si="13"/>
        <v>0.36875000000000002</v>
      </c>
      <c r="BC10" s="342">
        <v>1475</v>
      </c>
      <c r="BD10" s="343">
        <v>1</v>
      </c>
      <c r="BE10" s="635"/>
      <c r="BF10" s="343">
        <f>BC10/R10</f>
        <v>0.36875000000000002</v>
      </c>
      <c r="BG10" s="398">
        <v>1475</v>
      </c>
      <c r="BH10" s="379">
        <v>1</v>
      </c>
      <c r="BI10" s="638"/>
      <c r="BJ10" s="379">
        <f>BG10/R10</f>
        <v>0.36875000000000002</v>
      </c>
      <c r="BK10" s="454"/>
      <c r="BL10" s="661"/>
      <c r="BM10" s="454"/>
      <c r="BN10" s="658"/>
      <c r="BO10" s="16">
        <v>1000</v>
      </c>
      <c r="BP10" s="68">
        <v>0</v>
      </c>
      <c r="BQ10" s="60">
        <f t="shared" si="5"/>
        <v>0</v>
      </c>
      <c r="BR10" s="68">
        <v>0</v>
      </c>
      <c r="BS10" s="60">
        <f t="shared" si="6"/>
        <v>0</v>
      </c>
      <c r="BT10" s="68">
        <v>0</v>
      </c>
      <c r="BU10" s="60">
        <f t="shared" ref="BU10:BU15" si="15">BT10/R10</f>
        <v>0</v>
      </c>
      <c r="BV10" s="68">
        <v>0</v>
      </c>
      <c r="BW10" s="134">
        <f t="shared" si="7"/>
        <v>0</v>
      </c>
      <c r="BX10" s="68">
        <v>0</v>
      </c>
      <c r="BY10" s="133">
        <f t="shared" ref="BY10:BY36" si="16">BX10/BO10</f>
        <v>0</v>
      </c>
      <c r="BZ10" s="235">
        <v>0</v>
      </c>
      <c r="CA10" s="134">
        <f>BZ10/BO10</f>
        <v>0</v>
      </c>
      <c r="CB10" s="271">
        <v>0</v>
      </c>
      <c r="CC10" s="268">
        <f>CB10/BO10</f>
        <v>0</v>
      </c>
      <c r="CD10" s="271">
        <v>0</v>
      </c>
      <c r="CE10" s="268">
        <f>+CD10/BO10</f>
        <v>0</v>
      </c>
      <c r="CF10" s="335">
        <v>1475</v>
      </c>
      <c r="CG10" s="312">
        <v>1</v>
      </c>
      <c r="CH10" s="342">
        <v>1475</v>
      </c>
      <c r="CI10" s="346">
        <v>1</v>
      </c>
      <c r="CJ10" s="398">
        <v>1475</v>
      </c>
      <c r="CK10" s="383">
        <v>1</v>
      </c>
      <c r="CL10" s="657"/>
      <c r="CM10" s="657"/>
      <c r="CN10" s="454"/>
      <c r="CO10" s="454"/>
      <c r="CP10" s="454"/>
      <c r="CQ10" s="817"/>
      <c r="CR10" s="682"/>
      <c r="CS10" s="682"/>
      <c r="CT10" s="747"/>
      <c r="CU10" s="682"/>
      <c r="CV10" s="682"/>
      <c r="CW10" s="747"/>
      <c r="CX10" s="682"/>
      <c r="CY10" s="682"/>
      <c r="CZ10" s="747"/>
      <c r="DA10" s="682"/>
      <c r="DB10" s="682"/>
      <c r="DC10" s="747"/>
      <c r="DD10" s="682"/>
      <c r="DE10" s="682"/>
      <c r="DF10" s="747"/>
      <c r="DG10" s="682"/>
      <c r="DH10" s="682"/>
      <c r="DI10" s="747"/>
      <c r="DJ10" s="582"/>
      <c r="DK10" s="582"/>
      <c r="DL10" s="694"/>
      <c r="DM10" s="582"/>
      <c r="DN10" s="582"/>
      <c r="DO10" s="582"/>
      <c r="DP10" s="582"/>
      <c r="DQ10" s="682"/>
      <c r="DR10" s="682"/>
      <c r="DS10" s="703"/>
      <c r="DT10" s="768"/>
      <c r="DU10" s="768"/>
      <c r="DV10" s="812"/>
      <c r="DW10" s="432"/>
      <c r="DX10" s="435"/>
      <c r="DY10" s="438"/>
      <c r="DZ10" s="674"/>
      <c r="EA10" s="615"/>
      <c r="EB10" s="110" t="s">
        <v>214</v>
      </c>
      <c r="EC10" s="166" t="s">
        <v>264</v>
      </c>
      <c r="ED10" s="166" t="s">
        <v>272</v>
      </c>
      <c r="EE10" s="166" t="s">
        <v>319</v>
      </c>
      <c r="EF10" s="166" t="s">
        <v>388</v>
      </c>
      <c r="EG10" s="260" t="s">
        <v>390</v>
      </c>
      <c r="EH10" s="294" t="s">
        <v>443</v>
      </c>
      <c r="EI10" s="110" t="s">
        <v>473</v>
      </c>
      <c r="EJ10" s="358" t="s">
        <v>473</v>
      </c>
      <c r="EK10" s="393" t="s">
        <v>526</v>
      </c>
    </row>
    <row r="11" spans="2:146" s="2" customFormat="1" ht="408.75" customHeight="1" x14ac:dyDescent="0.35">
      <c r="B11" s="454"/>
      <c r="C11" s="454"/>
      <c r="D11" s="454"/>
      <c r="E11" s="657"/>
      <c r="F11" s="657"/>
      <c r="G11" s="516"/>
      <c r="H11" s="604"/>
      <c r="I11" s="514"/>
      <c r="J11" s="514"/>
      <c r="K11" s="628"/>
      <c r="L11" s="635"/>
      <c r="M11" s="638"/>
      <c r="N11" s="454"/>
      <c r="O11" s="14" t="s">
        <v>47</v>
      </c>
      <c r="P11" s="15">
        <v>288</v>
      </c>
      <c r="Q11" s="14" t="s">
        <v>123</v>
      </c>
      <c r="R11" s="16">
        <f>144*4</f>
        <v>576</v>
      </c>
      <c r="S11" s="16">
        <v>144</v>
      </c>
      <c r="T11" s="68">
        <v>0</v>
      </c>
      <c r="U11" s="60">
        <f t="shared" si="0"/>
        <v>0</v>
      </c>
      <c r="V11" s="452"/>
      <c r="W11" s="60">
        <f t="shared" si="1"/>
        <v>0</v>
      </c>
      <c r="X11" s="68">
        <v>0</v>
      </c>
      <c r="Y11" s="60">
        <f t="shared" si="8"/>
        <v>0</v>
      </c>
      <c r="Z11" s="452"/>
      <c r="AA11" s="60">
        <f t="shared" si="2"/>
        <v>0</v>
      </c>
      <c r="AB11" s="68">
        <v>0</v>
      </c>
      <c r="AC11" s="60">
        <f t="shared" si="9"/>
        <v>0</v>
      </c>
      <c r="AD11" s="452"/>
      <c r="AE11" s="68">
        <v>268</v>
      </c>
      <c r="AF11" s="60">
        <v>1</v>
      </c>
      <c r="AG11" s="452"/>
      <c r="AH11" s="60">
        <f t="shared" si="3"/>
        <v>0.46527777777777779</v>
      </c>
      <c r="AI11" s="68">
        <v>263</v>
      </c>
      <c r="AJ11" s="60">
        <v>1</v>
      </c>
      <c r="AK11" s="452"/>
      <c r="AL11" s="60">
        <f>AI11/R11</f>
        <v>0.45659722222222221</v>
      </c>
      <c r="AM11" s="68">
        <v>261</v>
      </c>
      <c r="AN11" s="60">
        <v>1</v>
      </c>
      <c r="AO11" s="452"/>
      <c r="AP11" s="60">
        <f t="shared" si="4"/>
        <v>0.453125</v>
      </c>
      <c r="AQ11" s="269">
        <v>261</v>
      </c>
      <c r="AR11" s="262">
        <v>1</v>
      </c>
      <c r="AS11" s="641"/>
      <c r="AT11" s="262">
        <f t="shared" si="11"/>
        <v>0.453125</v>
      </c>
      <c r="AU11" s="73">
        <v>261</v>
      </c>
      <c r="AV11" s="64">
        <v>1</v>
      </c>
      <c r="AW11" s="600"/>
      <c r="AX11" s="64">
        <f t="shared" si="12"/>
        <v>0.453125</v>
      </c>
      <c r="AY11" s="320">
        <v>261</v>
      </c>
      <c r="AZ11" s="323">
        <v>1</v>
      </c>
      <c r="BA11" s="508"/>
      <c r="BB11" s="323">
        <f t="shared" si="13"/>
        <v>0.453125</v>
      </c>
      <c r="BC11" s="344">
        <v>261</v>
      </c>
      <c r="BD11" s="343">
        <v>1</v>
      </c>
      <c r="BE11" s="635"/>
      <c r="BF11" s="343">
        <f>BC11/R11</f>
        <v>0.453125</v>
      </c>
      <c r="BG11" s="400">
        <v>261</v>
      </c>
      <c r="BH11" s="379">
        <v>1</v>
      </c>
      <c r="BI11" s="638"/>
      <c r="BJ11" s="379">
        <f>261/R11</f>
        <v>0.453125</v>
      </c>
      <c r="BK11" s="454"/>
      <c r="BL11" s="661"/>
      <c r="BM11" s="454"/>
      <c r="BN11" s="658"/>
      <c r="BO11" s="16">
        <v>144</v>
      </c>
      <c r="BP11" s="68">
        <v>0</v>
      </c>
      <c r="BQ11" s="60">
        <f t="shared" si="5"/>
        <v>0</v>
      </c>
      <c r="BR11" s="68">
        <v>0</v>
      </c>
      <c r="BS11" s="60">
        <f t="shared" si="6"/>
        <v>0</v>
      </c>
      <c r="BT11" s="68">
        <v>0</v>
      </c>
      <c r="BU11" s="60">
        <f t="shared" si="15"/>
        <v>0</v>
      </c>
      <c r="BV11" s="68">
        <v>268</v>
      </c>
      <c r="BW11" s="134">
        <f t="shared" si="7"/>
        <v>0.46527777777777779</v>
      </c>
      <c r="BX11" s="68">
        <v>263</v>
      </c>
      <c r="BY11" s="133">
        <v>1</v>
      </c>
      <c r="BZ11" s="236">
        <v>261</v>
      </c>
      <c r="CA11" s="134">
        <v>1</v>
      </c>
      <c r="CB11" s="272">
        <v>261</v>
      </c>
      <c r="CC11" s="268">
        <v>1</v>
      </c>
      <c r="CD11" s="272">
        <v>261</v>
      </c>
      <c r="CE11" s="268">
        <v>1</v>
      </c>
      <c r="CF11" s="316">
        <v>261</v>
      </c>
      <c r="CG11" s="312">
        <v>1</v>
      </c>
      <c r="CH11" s="364">
        <v>261</v>
      </c>
      <c r="CI11" s="346">
        <v>1</v>
      </c>
      <c r="CJ11" s="400">
        <v>261</v>
      </c>
      <c r="CK11" s="383">
        <v>1</v>
      </c>
      <c r="CL11" s="657"/>
      <c r="CM11" s="657"/>
      <c r="CN11" s="454"/>
      <c r="CO11" s="454"/>
      <c r="CP11" s="454"/>
      <c r="CQ11" s="817"/>
      <c r="CR11" s="682"/>
      <c r="CS11" s="682"/>
      <c r="CT11" s="747"/>
      <c r="CU11" s="682"/>
      <c r="CV11" s="682"/>
      <c r="CW11" s="747"/>
      <c r="CX11" s="682"/>
      <c r="CY11" s="682"/>
      <c r="CZ11" s="747"/>
      <c r="DA11" s="682"/>
      <c r="DB11" s="682"/>
      <c r="DC11" s="747"/>
      <c r="DD11" s="682"/>
      <c r="DE11" s="682"/>
      <c r="DF11" s="747"/>
      <c r="DG11" s="682"/>
      <c r="DH11" s="682"/>
      <c r="DI11" s="747"/>
      <c r="DJ11" s="582"/>
      <c r="DK11" s="582"/>
      <c r="DL11" s="694"/>
      <c r="DM11" s="582"/>
      <c r="DN11" s="582"/>
      <c r="DO11" s="582"/>
      <c r="DP11" s="582"/>
      <c r="DQ11" s="682"/>
      <c r="DR11" s="682"/>
      <c r="DS11" s="703"/>
      <c r="DT11" s="768"/>
      <c r="DU11" s="768"/>
      <c r="DV11" s="812"/>
      <c r="DW11" s="432"/>
      <c r="DX11" s="435"/>
      <c r="DY11" s="438"/>
      <c r="DZ11" s="674"/>
      <c r="EA11" s="615"/>
      <c r="EB11" s="110" t="s">
        <v>215</v>
      </c>
      <c r="EC11" s="166" t="s">
        <v>263</v>
      </c>
      <c r="ED11" s="166" t="s">
        <v>301</v>
      </c>
      <c r="EE11" s="166" t="s">
        <v>313</v>
      </c>
      <c r="EF11" s="166" t="s">
        <v>352</v>
      </c>
      <c r="EG11" s="260" t="s">
        <v>352</v>
      </c>
      <c r="EH11" s="294" t="s">
        <v>352</v>
      </c>
      <c r="EI11" s="297" t="s">
        <v>352</v>
      </c>
      <c r="EJ11" s="359" t="s">
        <v>352</v>
      </c>
      <c r="EK11" s="404" t="s">
        <v>524</v>
      </c>
    </row>
    <row r="12" spans="2:146" s="2" customFormat="1" ht="402.75" customHeight="1" x14ac:dyDescent="0.35">
      <c r="B12" s="454"/>
      <c r="C12" s="454"/>
      <c r="D12" s="454"/>
      <c r="E12" s="657"/>
      <c r="F12" s="657"/>
      <c r="G12" s="517"/>
      <c r="H12" s="605"/>
      <c r="I12" s="457"/>
      <c r="J12" s="457"/>
      <c r="K12" s="629"/>
      <c r="L12" s="636"/>
      <c r="M12" s="639"/>
      <c r="N12" s="454"/>
      <c r="O12" s="14" t="s">
        <v>49</v>
      </c>
      <c r="P12" s="15">
        <v>49</v>
      </c>
      <c r="Q12" s="14" t="s">
        <v>48</v>
      </c>
      <c r="R12" s="16">
        <v>20</v>
      </c>
      <c r="S12" s="16">
        <v>5</v>
      </c>
      <c r="T12" s="68">
        <v>0</v>
      </c>
      <c r="U12" s="60">
        <f t="shared" si="0"/>
        <v>0</v>
      </c>
      <c r="V12" s="453"/>
      <c r="W12" s="60">
        <f t="shared" si="1"/>
        <v>0</v>
      </c>
      <c r="X12" s="68">
        <v>0</v>
      </c>
      <c r="Y12" s="60">
        <f t="shared" si="8"/>
        <v>0</v>
      </c>
      <c r="Z12" s="453"/>
      <c r="AA12" s="60">
        <f t="shared" si="2"/>
        <v>0</v>
      </c>
      <c r="AB12" s="68">
        <v>0</v>
      </c>
      <c r="AC12" s="60">
        <f t="shared" si="9"/>
        <v>0</v>
      </c>
      <c r="AD12" s="453"/>
      <c r="AE12" s="68">
        <v>0</v>
      </c>
      <c r="AF12" s="60">
        <f t="shared" si="10"/>
        <v>0</v>
      </c>
      <c r="AG12" s="453"/>
      <c r="AH12" s="60">
        <f t="shared" si="3"/>
        <v>0</v>
      </c>
      <c r="AI12" s="68">
        <v>1</v>
      </c>
      <c r="AJ12" s="181">
        <f>AI12/S12</f>
        <v>0.2</v>
      </c>
      <c r="AK12" s="453"/>
      <c r="AL12" s="60">
        <f>AI12/R12</f>
        <v>0.05</v>
      </c>
      <c r="AM12" s="68">
        <f>AI12+5</f>
        <v>6</v>
      </c>
      <c r="AN12" s="181">
        <v>1</v>
      </c>
      <c r="AO12" s="453"/>
      <c r="AP12" s="60">
        <f t="shared" si="4"/>
        <v>0.3</v>
      </c>
      <c r="AQ12" s="269">
        <f>AM12+7</f>
        <v>13</v>
      </c>
      <c r="AR12" s="275">
        <v>1</v>
      </c>
      <c r="AS12" s="642"/>
      <c r="AT12" s="262">
        <f t="shared" si="11"/>
        <v>0.65</v>
      </c>
      <c r="AU12" s="73">
        <f>AQ12+7</f>
        <v>20</v>
      </c>
      <c r="AV12" s="180">
        <v>1</v>
      </c>
      <c r="AW12" s="601"/>
      <c r="AX12" s="64">
        <f t="shared" si="12"/>
        <v>1</v>
      </c>
      <c r="AY12" s="320">
        <f>AU12+5</f>
        <v>25</v>
      </c>
      <c r="AZ12" s="324">
        <v>1</v>
      </c>
      <c r="BA12" s="509"/>
      <c r="BB12" s="323">
        <v>1</v>
      </c>
      <c r="BC12" s="344">
        <f>AY12+2</f>
        <v>27</v>
      </c>
      <c r="BD12" s="345">
        <v>1</v>
      </c>
      <c r="BE12" s="636"/>
      <c r="BF12" s="343">
        <v>1</v>
      </c>
      <c r="BG12" s="400">
        <f>BC12+5</f>
        <v>32</v>
      </c>
      <c r="BH12" s="379">
        <v>1</v>
      </c>
      <c r="BI12" s="639"/>
      <c r="BJ12" s="379">
        <v>1</v>
      </c>
      <c r="BK12" s="454"/>
      <c r="BL12" s="661"/>
      <c r="BM12" s="454"/>
      <c r="BN12" s="658"/>
      <c r="BO12" s="16">
        <v>5</v>
      </c>
      <c r="BP12" s="68">
        <v>0</v>
      </c>
      <c r="BQ12" s="60">
        <f t="shared" si="5"/>
        <v>0</v>
      </c>
      <c r="BR12" s="68">
        <v>0</v>
      </c>
      <c r="BS12" s="60">
        <f t="shared" si="6"/>
        <v>0</v>
      </c>
      <c r="BT12" s="68">
        <v>0</v>
      </c>
      <c r="BU12" s="60">
        <f t="shared" si="15"/>
        <v>0</v>
      </c>
      <c r="BV12" s="68">
        <v>0</v>
      </c>
      <c r="BW12" s="134">
        <f t="shared" si="7"/>
        <v>0</v>
      </c>
      <c r="BX12" s="68">
        <v>1</v>
      </c>
      <c r="BY12" s="133">
        <f t="shared" si="16"/>
        <v>0.2</v>
      </c>
      <c r="BZ12" s="236">
        <f>BX12+5</f>
        <v>6</v>
      </c>
      <c r="CA12" s="134">
        <v>1</v>
      </c>
      <c r="CB12" s="272">
        <f>BZ12+7</f>
        <v>13</v>
      </c>
      <c r="CC12" s="268">
        <v>1</v>
      </c>
      <c r="CD12" s="272">
        <f>CB12+7</f>
        <v>20</v>
      </c>
      <c r="CE12" s="268">
        <v>1</v>
      </c>
      <c r="CF12" s="316">
        <f>CD12+5</f>
        <v>25</v>
      </c>
      <c r="CG12" s="312">
        <v>1</v>
      </c>
      <c r="CH12" s="364">
        <f>CF12+2</f>
        <v>27</v>
      </c>
      <c r="CI12" s="346">
        <v>1</v>
      </c>
      <c r="CJ12" s="400">
        <f>CH12+5</f>
        <v>32</v>
      </c>
      <c r="CK12" s="383">
        <v>1</v>
      </c>
      <c r="CL12" s="657"/>
      <c r="CM12" s="657"/>
      <c r="CN12" s="454"/>
      <c r="CO12" s="454"/>
      <c r="CP12" s="454"/>
      <c r="CQ12" s="817"/>
      <c r="CR12" s="683"/>
      <c r="CS12" s="683"/>
      <c r="CT12" s="748"/>
      <c r="CU12" s="683"/>
      <c r="CV12" s="683"/>
      <c r="CW12" s="748"/>
      <c r="CX12" s="683"/>
      <c r="CY12" s="683"/>
      <c r="CZ12" s="748"/>
      <c r="DA12" s="683"/>
      <c r="DB12" s="683"/>
      <c r="DC12" s="748"/>
      <c r="DD12" s="683"/>
      <c r="DE12" s="683"/>
      <c r="DF12" s="748"/>
      <c r="DG12" s="683"/>
      <c r="DH12" s="683"/>
      <c r="DI12" s="748"/>
      <c r="DJ12" s="583"/>
      <c r="DK12" s="583"/>
      <c r="DL12" s="695"/>
      <c r="DM12" s="583"/>
      <c r="DN12" s="583"/>
      <c r="DO12" s="583"/>
      <c r="DP12" s="583"/>
      <c r="DQ12" s="683"/>
      <c r="DR12" s="683"/>
      <c r="DS12" s="704"/>
      <c r="DT12" s="769"/>
      <c r="DU12" s="769"/>
      <c r="DV12" s="813"/>
      <c r="DW12" s="433"/>
      <c r="DX12" s="436"/>
      <c r="DY12" s="439"/>
      <c r="DZ12" s="674"/>
      <c r="EA12" s="616"/>
      <c r="EB12" s="159" t="s">
        <v>216</v>
      </c>
      <c r="EC12" s="167" t="s">
        <v>262</v>
      </c>
      <c r="ED12" s="178" t="s">
        <v>278</v>
      </c>
      <c r="EE12" s="178" t="s">
        <v>343</v>
      </c>
      <c r="EF12" s="178" t="s">
        <v>354</v>
      </c>
      <c r="EG12" s="264" t="s">
        <v>401</v>
      </c>
      <c r="EH12" s="287" t="s">
        <v>431</v>
      </c>
      <c r="EI12" s="178" t="s">
        <v>457</v>
      </c>
      <c r="EJ12" s="361" t="s">
        <v>492</v>
      </c>
      <c r="EK12" s="405" t="s">
        <v>538</v>
      </c>
    </row>
    <row r="13" spans="2:146" s="2" customFormat="1" ht="409.5" customHeight="1" x14ac:dyDescent="0.35">
      <c r="B13" s="449" t="s">
        <v>36</v>
      </c>
      <c r="C13" s="449" t="s">
        <v>37</v>
      </c>
      <c r="D13" s="449" t="s">
        <v>39</v>
      </c>
      <c r="E13" s="455">
        <v>1049212</v>
      </c>
      <c r="F13" s="455">
        <f>+E13*13%</f>
        <v>136397.56</v>
      </c>
      <c r="G13" s="515">
        <v>7.5895785819042508E-2</v>
      </c>
      <c r="H13" s="603">
        <v>7.5895785819042508E-2</v>
      </c>
      <c r="I13" s="456">
        <v>0.1164903536397572</v>
      </c>
      <c r="J13" s="456">
        <f>+J9</f>
        <v>0.15301593371611633</v>
      </c>
      <c r="K13" s="627">
        <f>+K9</f>
        <v>0.17231246658664567</v>
      </c>
      <c r="L13" s="634">
        <v>0.17576560753726092</v>
      </c>
      <c r="M13" s="637">
        <v>0.47433399835011714</v>
      </c>
      <c r="N13" s="449" t="s">
        <v>50</v>
      </c>
      <c r="O13" s="17" t="s">
        <v>52</v>
      </c>
      <c r="P13" s="18">
        <v>100881</v>
      </c>
      <c r="Q13" s="17" t="s">
        <v>51</v>
      </c>
      <c r="R13" s="19">
        <v>120000</v>
      </c>
      <c r="S13" s="20">
        <v>62418</v>
      </c>
      <c r="T13" s="69">
        <v>0</v>
      </c>
      <c r="U13" s="61">
        <f t="shared" si="0"/>
        <v>0</v>
      </c>
      <c r="V13" s="456">
        <f>(U13+U14)/2</f>
        <v>0</v>
      </c>
      <c r="W13" s="61">
        <f t="shared" si="1"/>
        <v>0</v>
      </c>
      <c r="X13" s="69">
        <v>0</v>
      </c>
      <c r="Y13" s="61">
        <f t="shared" si="8"/>
        <v>0</v>
      </c>
      <c r="Z13" s="456">
        <f>(Y13+Y14)/2</f>
        <v>0</v>
      </c>
      <c r="AA13" s="61">
        <f t="shared" si="2"/>
        <v>0</v>
      </c>
      <c r="AB13" s="69">
        <v>0</v>
      </c>
      <c r="AC13" s="61">
        <f t="shared" si="9"/>
        <v>0</v>
      </c>
      <c r="AD13" s="456">
        <f>(AC13+AC14)/2</f>
        <v>0</v>
      </c>
      <c r="AE13" s="69">
        <v>0</v>
      </c>
      <c r="AF13" s="61">
        <f t="shared" si="10"/>
        <v>0</v>
      </c>
      <c r="AG13" s="456">
        <f>(AF13+AF14)/2</f>
        <v>0</v>
      </c>
      <c r="AH13" s="61">
        <f t="shared" si="3"/>
        <v>0</v>
      </c>
      <c r="AI13" s="69">
        <v>0</v>
      </c>
      <c r="AJ13" s="61">
        <f>AI13/S13</f>
        <v>0</v>
      </c>
      <c r="AK13" s="456">
        <f>(AJ13+AJ14)/2</f>
        <v>0</v>
      </c>
      <c r="AL13" s="61">
        <f t="shared" si="14"/>
        <v>0</v>
      </c>
      <c r="AM13" s="69">
        <v>0</v>
      </c>
      <c r="AN13" s="61">
        <f>AM13/S13</f>
        <v>0</v>
      </c>
      <c r="AO13" s="456">
        <f>(AN13+AN14)/2</f>
        <v>0</v>
      </c>
      <c r="AP13" s="61">
        <f t="shared" si="4"/>
        <v>0</v>
      </c>
      <c r="AQ13" s="261">
        <v>3423</v>
      </c>
      <c r="AR13" s="262">
        <f>AQ13/S13</f>
        <v>5.4839950014418916E-2</v>
      </c>
      <c r="AS13" s="640">
        <f>(AR13+AR14)/2</f>
        <v>2.7419975007209458E-2</v>
      </c>
      <c r="AT13" s="262">
        <f t="shared" si="11"/>
        <v>2.8524999999999998E-2</v>
      </c>
      <c r="AU13" s="95">
        <f>3870+80</f>
        <v>3950</v>
      </c>
      <c r="AV13" s="64">
        <f>AU13/S13</f>
        <v>6.3283027331859393E-2</v>
      </c>
      <c r="AW13" s="599">
        <f>(AV13+AV14)/2</f>
        <v>3.1641513665929696E-2</v>
      </c>
      <c r="AX13" s="64">
        <f t="shared" si="12"/>
        <v>3.2916666666666664E-2</v>
      </c>
      <c r="AY13" s="318">
        <f>AU13+2073</f>
        <v>6023</v>
      </c>
      <c r="AZ13" s="323">
        <f>AY13/S13</f>
        <v>9.6494600916402315E-2</v>
      </c>
      <c r="BA13" s="507">
        <f>(AZ13+AZ14)/2</f>
        <v>0.34824730045820113</v>
      </c>
      <c r="BB13" s="323">
        <f t="shared" si="13"/>
        <v>5.0191666666666669E-2</v>
      </c>
      <c r="BC13" s="342">
        <v>6023</v>
      </c>
      <c r="BD13" s="343">
        <f>BC13/S13</f>
        <v>9.6494600916402315E-2</v>
      </c>
      <c r="BE13" s="634">
        <f>(BD13+BD14)/2</f>
        <v>0.54824730045820114</v>
      </c>
      <c r="BF13" s="343">
        <f>BC13/R13</f>
        <v>5.0191666666666669E-2</v>
      </c>
      <c r="BG13" s="398">
        <f>BC13+57020</f>
        <v>63043</v>
      </c>
      <c r="BH13" s="379">
        <v>1</v>
      </c>
      <c r="BI13" s="637">
        <v>1</v>
      </c>
      <c r="BJ13" s="379">
        <f>BG13/R13</f>
        <v>0.52535833333333337</v>
      </c>
      <c r="BK13" s="455" t="s">
        <v>124</v>
      </c>
      <c r="BL13" s="660" t="s">
        <v>179</v>
      </c>
      <c r="BM13" s="449" t="s">
        <v>175</v>
      </c>
      <c r="BN13" s="618" t="s">
        <v>174</v>
      </c>
      <c r="BO13" s="19">
        <v>62418</v>
      </c>
      <c r="BP13" s="69">
        <v>0</v>
      </c>
      <c r="BQ13" s="61">
        <f t="shared" si="5"/>
        <v>0</v>
      </c>
      <c r="BR13" s="69">
        <v>0</v>
      </c>
      <c r="BS13" s="61">
        <f t="shared" si="6"/>
        <v>0</v>
      </c>
      <c r="BT13" s="69">
        <v>0</v>
      </c>
      <c r="BU13" s="61">
        <f t="shared" si="15"/>
        <v>0</v>
      </c>
      <c r="BV13" s="69">
        <v>0</v>
      </c>
      <c r="BW13" s="135">
        <f t="shared" si="7"/>
        <v>0</v>
      </c>
      <c r="BX13" s="69">
        <v>0</v>
      </c>
      <c r="BY13" s="133">
        <f t="shared" si="16"/>
        <v>0</v>
      </c>
      <c r="BZ13" s="237">
        <v>0</v>
      </c>
      <c r="CA13" s="135">
        <f t="shared" ref="CA13:CA34" si="17">BZ13/BO13</f>
        <v>0</v>
      </c>
      <c r="CB13" s="261">
        <f>658+1455+1310</f>
        <v>3423</v>
      </c>
      <c r="CC13" s="268">
        <f>CB13/BO13</f>
        <v>5.4839950014418916E-2</v>
      </c>
      <c r="CD13" s="261">
        <v>3950</v>
      </c>
      <c r="CE13" s="268">
        <f>+CD13/BO13</f>
        <v>6.3283027331859393E-2</v>
      </c>
      <c r="CF13" s="311">
        <f>CD13+2073</f>
        <v>6023</v>
      </c>
      <c r="CG13" s="312">
        <v>1</v>
      </c>
      <c r="CH13" s="342">
        <v>6023</v>
      </c>
      <c r="CI13" s="346">
        <f>CH13/BO13</f>
        <v>9.6494600916402315E-2</v>
      </c>
      <c r="CJ13" s="398">
        <f>CH13+57020</f>
        <v>63043</v>
      </c>
      <c r="CK13" s="383">
        <v>1</v>
      </c>
      <c r="CL13" s="21" t="s">
        <v>160</v>
      </c>
      <c r="CM13" s="21" t="s">
        <v>158</v>
      </c>
      <c r="CN13" s="455" t="s">
        <v>86</v>
      </c>
      <c r="CO13" s="455" t="s">
        <v>88</v>
      </c>
      <c r="CP13" s="455" t="s">
        <v>122</v>
      </c>
      <c r="CQ13" s="743">
        <v>2675248338</v>
      </c>
      <c r="CR13" s="818">
        <v>2675248338</v>
      </c>
      <c r="CS13" s="820">
        <v>415729000</v>
      </c>
      <c r="CT13" s="468">
        <f>CS13/CR13</f>
        <v>0.15539828362655728</v>
      </c>
      <c r="CU13" s="665">
        <v>2675248338</v>
      </c>
      <c r="CV13" s="665">
        <v>501729000</v>
      </c>
      <c r="CW13" s="468">
        <f>CV13/CU13</f>
        <v>0.18754483195944704</v>
      </c>
      <c r="CX13" s="665">
        <v>2675248338</v>
      </c>
      <c r="CY13" s="665">
        <v>501729000</v>
      </c>
      <c r="CZ13" s="468">
        <f>CY13/CX13</f>
        <v>0.18754483195944704</v>
      </c>
      <c r="DA13" s="665">
        <v>2682248338</v>
      </c>
      <c r="DB13" s="665">
        <v>508729000</v>
      </c>
      <c r="DC13" s="468">
        <f>DB13/DA13</f>
        <v>0.18966513756117387</v>
      </c>
      <c r="DD13" s="665">
        <v>2682248338</v>
      </c>
      <c r="DE13" s="665">
        <v>517179000</v>
      </c>
      <c r="DF13" s="468">
        <f>DE13/DD13</f>
        <v>0.19281547971267676</v>
      </c>
      <c r="DG13" s="665">
        <v>2682248338</v>
      </c>
      <c r="DH13" s="665">
        <v>518794621.13</v>
      </c>
      <c r="DI13" s="468">
        <f>DH13/DG13</f>
        <v>0.19341781809690137</v>
      </c>
      <c r="DJ13" s="588">
        <v>2675248338</v>
      </c>
      <c r="DK13" s="584">
        <v>563845121.13</v>
      </c>
      <c r="DL13" s="693">
        <f>DK13/DJ13</f>
        <v>0.2107636562636003</v>
      </c>
      <c r="DM13" s="584">
        <v>1000000000</v>
      </c>
      <c r="DN13" s="584">
        <f>+DJ13-DM13</f>
        <v>1675248338</v>
      </c>
      <c r="DO13" s="584">
        <v>1246586121.1300001</v>
      </c>
      <c r="DP13" s="670">
        <f>+DO13/DN13</f>
        <v>0.74412019570676935</v>
      </c>
      <c r="DQ13" s="705">
        <v>1682248338</v>
      </c>
      <c r="DR13" s="684">
        <v>1253586121.1300001</v>
      </c>
      <c r="DS13" s="702">
        <f>DR13/DQ13</f>
        <v>0.74518493661903096</v>
      </c>
      <c r="DT13" s="464">
        <v>1682248338</v>
      </c>
      <c r="DU13" s="464">
        <v>1253586121.1300001</v>
      </c>
      <c r="DV13" s="466">
        <f>DU13/DT13</f>
        <v>0.74518493661903096</v>
      </c>
      <c r="DW13" s="434">
        <v>1682248338</v>
      </c>
      <c r="DX13" s="431">
        <v>1253586121.1300001</v>
      </c>
      <c r="DY13" s="437">
        <f>DX13/DW13</f>
        <v>0.74518493661903096</v>
      </c>
      <c r="DZ13" s="675" t="s">
        <v>129</v>
      </c>
      <c r="EA13" s="617" t="s">
        <v>182</v>
      </c>
      <c r="EB13" s="160" t="s">
        <v>217</v>
      </c>
      <c r="EC13" s="168" t="s">
        <v>260</v>
      </c>
      <c r="ED13" s="168" t="s">
        <v>300</v>
      </c>
      <c r="EE13" s="168" t="s">
        <v>311</v>
      </c>
      <c r="EF13" s="168" t="s">
        <v>346</v>
      </c>
      <c r="EG13" s="260" t="s">
        <v>384</v>
      </c>
      <c r="EH13" s="294" t="s">
        <v>434</v>
      </c>
      <c r="EI13" s="110" t="s">
        <v>444</v>
      </c>
      <c r="EJ13" s="358" t="s">
        <v>493</v>
      </c>
      <c r="EK13" s="393" t="s">
        <v>544</v>
      </c>
    </row>
    <row r="14" spans="2:146" s="2" customFormat="1" ht="409.6" customHeight="1" x14ac:dyDescent="0.35">
      <c r="B14" s="449"/>
      <c r="C14" s="449"/>
      <c r="D14" s="449"/>
      <c r="E14" s="455"/>
      <c r="F14" s="455"/>
      <c r="G14" s="517"/>
      <c r="H14" s="605"/>
      <c r="I14" s="457"/>
      <c r="J14" s="457"/>
      <c r="K14" s="629"/>
      <c r="L14" s="636"/>
      <c r="M14" s="639"/>
      <c r="N14" s="449"/>
      <c r="O14" s="17" t="s">
        <v>54</v>
      </c>
      <c r="P14" s="22">
        <v>12</v>
      </c>
      <c r="Q14" s="17" t="s">
        <v>53</v>
      </c>
      <c r="R14" s="19">
        <v>15</v>
      </c>
      <c r="S14" s="20">
        <v>5</v>
      </c>
      <c r="T14" s="69">
        <v>0</v>
      </c>
      <c r="U14" s="61">
        <f t="shared" si="0"/>
        <v>0</v>
      </c>
      <c r="V14" s="457"/>
      <c r="W14" s="61">
        <f t="shared" si="1"/>
        <v>0</v>
      </c>
      <c r="X14" s="69">
        <v>0</v>
      </c>
      <c r="Y14" s="61">
        <f t="shared" si="8"/>
        <v>0</v>
      </c>
      <c r="Z14" s="457"/>
      <c r="AA14" s="61">
        <f t="shared" si="2"/>
        <v>0</v>
      </c>
      <c r="AB14" s="69">
        <v>0</v>
      </c>
      <c r="AC14" s="61">
        <f t="shared" si="9"/>
        <v>0</v>
      </c>
      <c r="AD14" s="457"/>
      <c r="AE14" s="69">
        <v>0</v>
      </c>
      <c r="AF14" s="61">
        <f t="shared" si="10"/>
        <v>0</v>
      </c>
      <c r="AG14" s="457"/>
      <c r="AH14" s="61">
        <f t="shared" si="3"/>
        <v>0</v>
      </c>
      <c r="AI14" s="69">
        <v>0</v>
      </c>
      <c r="AJ14" s="61">
        <f>AI14/S14</f>
        <v>0</v>
      </c>
      <c r="AK14" s="457"/>
      <c r="AL14" s="61">
        <f t="shared" si="14"/>
        <v>0</v>
      </c>
      <c r="AM14" s="69">
        <v>0</v>
      </c>
      <c r="AN14" s="61">
        <f>AM14/S14</f>
        <v>0</v>
      </c>
      <c r="AO14" s="457"/>
      <c r="AP14" s="61">
        <f t="shared" si="4"/>
        <v>0</v>
      </c>
      <c r="AQ14" s="269">
        <v>0</v>
      </c>
      <c r="AR14" s="262">
        <f>AQ14/S14</f>
        <v>0</v>
      </c>
      <c r="AS14" s="642"/>
      <c r="AT14" s="262">
        <f t="shared" si="11"/>
        <v>0</v>
      </c>
      <c r="AU14" s="73">
        <v>0</v>
      </c>
      <c r="AV14" s="64">
        <f>AU14/S14</f>
        <v>0</v>
      </c>
      <c r="AW14" s="601"/>
      <c r="AX14" s="64">
        <f t="shared" si="12"/>
        <v>0</v>
      </c>
      <c r="AY14" s="320">
        <v>3</v>
      </c>
      <c r="AZ14" s="323">
        <f>AY14/S14</f>
        <v>0.6</v>
      </c>
      <c r="BA14" s="509"/>
      <c r="BB14" s="323">
        <f t="shared" si="13"/>
        <v>0.2</v>
      </c>
      <c r="BC14" s="344">
        <f>AY14+3</f>
        <v>6</v>
      </c>
      <c r="BD14" s="343">
        <v>1</v>
      </c>
      <c r="BE14" s="636"/>
      <c r="BF14" s="343">
        <f>BC14/R14</f>
        <v>0.4</v>
      </c>
      <c r="BG14" s="400">
        <v>6</v>
      </c>
      <c r="BH14" s="379">
        <v>1</v>
      </c>
      <c r="BI14" s="639"/>
      <c r="BJ14" s="379">
        <f>BG14/R14</f>
        <v>0.4</v>
      </c>
      <c r="BK14" s="455"/>
      <c r="BL14" s="660"/>
      <c r="BM14" s="449"/>
      <c r="BN14" s="618"/>
      <c r="BO14" s="19">
        <v>5</v>
      </c>
      <c r="BP14" s="69">
        <v>0</v>
      </c>
      <c r="BQ14" s="61">
        <f t="shared" si="5"/>
        <v>0</v>
      </c>
      <c r="BR14" s="69">
        <v>0</v>
      </c>
      <c r="BS14" s="61">
        <f t="shared" si="6"/>
        <v>0</v>
      </c>
      <c r="BT14" s="69">
        <v>0</v>
      </c>
      <c r="BU14" s="61">
        <f t="shared" si="15"/>
        <v>0</v>
      </c>
      <c r="BV14" s="69">
        <v>0</v>
      </c>
      <c r="BW14" s="135">
        <f t="shared" si="7"/>
        <v>0</v>
      </c>
      <c r="BX14" s="69">
        <v>0</v>
      </c>
      <c r="BY14" s="133">
        <f t="shared" si="16"/>
        <v>0</v>
      </c>
      <c r="BZ14" s="237">
        <v>0</v>
      </c>
      <c r="CA14" s="135">
        <f t="shared" si="17"/>
        <v>0</v>
      </c>
      <c r="CB14" s="271">
        <v>0</v>
      </c>
      <c r="CC14" s="268">
        <f>CB14/BO14</f>
        <v>0</v>
      </c>
      <c r="CD14" s="271">
        <v>0</v>
      </c>
      <c r="CE14" s="268">
        <f>+CD14/BO14</f>
        <v>0</v>
      </c>
      <c r="CF14" s="315">
        <v>3</v>
      </c>
      <c r="CG14" s="312">
        <f>CF14/BO14</f>
        <v>0.6</v>
      </c>
      <c r="CH14" s="364">
        <f>CF14+3</f>
        <v>6</v>
      </c>
      <c r="CI14" s="346">
        <v>1</v>
      </c>
      <c r="CJ14" s="400">
        <v>6</v>
      </c>
      <c r="CK14" s="383">
        <v>1</v>
      </c>
      <c r="CL14" s="21" t="s">
        <v>160</v>
      </c>
      <c r="CM14" s="21" t="s">
        <v>158</v>
      </c>
      <c r="CN14" s="455"/>
      <c r="CO14" s="455"/>
      <c r="CP14" s="455"/>
      <c r="CQ14" s="743"/>
      <c r="CR14" s="819"/>
      <c r="CS14" s="821"/>
      <c r="CT14" s="469"/>
      <c r="CU14" s="666"/>
      <c r="CV14" s="666"/>
      <c r="CW14" s="469"/>
      <c r="CX14" s="666"/>
      <c r="CY14" s="666"/>
      <c r="CZ14" s="469"/>
      <c r="DA14" s="666"/>
      <c r="DB14" s="666"/>
      <c r="DC14" s="469"/>
      <c r="DD14" s="666"/>
      <c r="DE14" s="666"/>
      <c r="DF14" s="469"/>
      <c r="DG14" s="666"/>
      <c r="DH14" s="666"/>
      <c r="DI14" s="469"/>
      <c r="DJ14" s="585"/>
      <c r="DK14" s="585"/>
      <c r="DL14" s="695"/>
      <c r="DM14" s="585"/>
      <c r="DN14" s="585"/>
      <c r="DO14" s="585"/>
      <c r="DP14" s="585"/>
      <c r="DQ14" s="706"/>
      <c r="DR14" s="707"/>
      <c r="DS14" s="708"/>
      <c r="DT14" s="465"/>
      <c r="DU14" s="465"/>
      <c r="DV14" s="467"/>
      <c r="DW14" s="436"/>
      <c r="DX14" s="433"/>
      <c r="DY14" s="439"/>
      <c r="DZ14" s="675"/>
      <c r="EA14" s="617"/>
      <c r="EB14" s="160" t="s">
        <v>218</v>
      </c>
      <c r="EC14" s="168" t="s">
        <v>259</v>
      </c>
      <c r="ED14" s="168" t="s">
        <v>273</v>
      </c>
      <c r="EE14" s="168" t="s">
        <v>311</v>
      </c>
      <c r="EF14" s="168" t="s">
        <v>347</v>
      </c>
      <c r="EG14" s="260" t="s">
        <v>402</v>
      </c>
      <c r="EH14" s="294" t="s">
        <v>435</v>
      </c>
      <c r="EI14" s="110" t="s">
        <v>458</v>
      </c>
      <c r="EJ14" s="359" t="s">
        <v>494</v>
      </c>
      <c r="EK14" s="404" t="s">
        <v>537</v>
      </c>
    </row>
    <row r="15" spans="2:146" s="2" customFormat="1" ht="409.5" customHeight="1" x14ac:dyDescent="0.35">
      <c r="B15" s="506" t="s">
        <v>36</v>
      </c>
      <c r="C15" s="506" t="s">
        <v>37</v>
      </c>
      <c r="D15" s="506" t="s">
        <v>16</v>
      </c>
      <c r="E15" s="620">
        <v>1049212</v>
      </c>
      <c r="F15" s="620">
        <f>+E15*8%</f>
        <v>83936.960000000006</v>
      </c>
      <c r="G15" s="515">
        <v>0.32</v>
      </c>
      <c r="H15" s="603">
        <f>(AM15+AM16+AM17+AM20+AM21+AM22+AM23)/F21</f>
        <v>0.36534561175434516</v>
      </c>
      <c r="I15" s="456">
        <f>(AQ15+AQ16+AQ17+AQ20+AQ21+AQ22+AQ23+AQ24)/F21</f>
        <v>0.44277276660960796</v>
      </c>
      <c r="J15" s="456">
        <f>(AU15+AU16+AU17+AU20+AU21+AU22+AU23+AU24+AU18)/F21</f>
        <v>0.58460539909951459</v>
      </c>
      <c r="K15" s="627">
        <f>(AY15+AY16+AY17+AY18+AY20+AY21+AY22+AY23+AY24)/F21</f>
        <v>0.69504542456624585</v>
      </c>
      <c r="L15" s="634">
        <v>0.75597210096720202</v>
      </c>
      <c r="M15" s="637">
        <f>(BG15+BG16+BG17+BG18+BG20+BG21+BG22+BG23+BG24)/F20</f>
        <v>0.80492550599878765</v>
      </c>
      <c r="N15" s="506" t="s">
        <v>65</v>
      </c>
      <c r="O15" s="506" t="s">
        <v>17</v>
      </c>
      <c r="P15" s="620">
        <v>13310</v>
      </c>
      <c r="Q15" s="506" t="s">
        <v>66</v>
      </c>
      <c r="R15" s="656">
        <v>14131</v>
      </c>
      <c r="S15" s="656">
        <v>10991</v>
      </c>
      <c r="T15" s="71">
        <v>1068</v>
      </c>
      <c r="U15" s="650">
        <f>+SUM(T15:T17)/S15</f>
        <v>0.46146847420616871</v>
      </c>
      <c r="V15" s="650">
        <f>+AVERAGE(U15:U19)</f>
        <v>0.15382282473538958</v>
      </c>
      <c r="W15" s="62">
        <f t="shared" si="1"/>
        <v>7.5578515320925618E-2</v>
      </c>
      <c r="X15" s="71">
        <f>2675+279+T15</f>
        <v>4022</v>
      </c>
      <c r="Y15" s="650">
        <f>+SUM(X15:X17)/S15</f>
        <v>0.85024110635974892</v>
      </c>
      <c r="Z15" s="650">
        <f>+AVERAGE(Y15:Y19)</f>
        <v>0.28341370211991629</v>
      </c>
      <c r="AA15" s="62">
        <f t="shared" si="2"/>
        <v>0.28462246125539592</v>
      </c>
      <c r="AB15" s="71">
        <f>2917+201+X15</f>
        <v>7140</v>
      </c>
      <c r="AC15" s="650">
        <v>1</v>
      </c>
      <c r="AD15" s="650">
        <f>+AVERAGE(AC15:AC19)</f>
        <v>0.33333333333333331</v>
      </c>
      <c r="AE15" s="71">
        <f>AB15+1801+233+106</f>
        <v>9280</v>
      </c>
      <c r="AF15" s="650">
        <v>1</v>
      </c>
      <c r="AG15" s="650">
        <f>+AVERAGE(AF15:AF19)</f>
        <v>0.33333333333333331</v>
      </c>
      <c r="AH15" s="62">
        <f t="shared" si="3"/>
        <v>0.65671219305073947</v>
      </c>
      <c r="AI15" s="71">
        <f>AE15+1623</f>
        <v>10903</v>
      </c>
      <c r="AJ15" s="650">
        <v>1</v>
      </c>
      <c r="AK15" s="650">
        <f>+AVERAGE(AJ15:AJ19)</f>
        <v>0.33333333333333331</v>
      </c>
      <c r="AL15" s="62">
        <f t="shared" si="14"/>
        <v>0.77156606043450571</v>
      </c>
      <c r="AM15" s="71">
        <f>AI15+1225+122</f>
        <v>12250</v>
      </c>
      <c r="AN15" s="650">
        <v>1</v>
      </c>
      <c r="AO15" s="650">
        <f>+AVERAGE(AN15:AN19)</f>
        <v>0.33333333333333331</v>
      </c>
      <c r="AP15" s="62">
        <f t="shared" si="4"/>
        <v>0.86688840138702139</v>
      </c>
      <c r="AQ15" s="261">
        <f>AM15+2544</f>
        <v>14794</v>
      </c>
      <c r="AR15" s="640">
        <v>1</v>
      </c>
      <c r="AS15" s="640">
        <f>+AVERAGE(AR15:AR19)</f>
        <v>0.33333333333333331</v>
      </c>
      <c r="AT15" s="262">
        <v>1</v>
      </c>
      <c r="AU15" s="95">
        <f>AQ15+2544</f>
        <v>17338</v>
      </c>
      <c r="AV15" s="599">
        <v>1</v>
      </c>
      <c r="AW15" s="599">
        <f>+AVERAGE(AV15:AV19)</f>
        <v>0.5453636758721504</v>
      </c>
      <c r="AX15" s="599">
        <v>1</v>
      </c>
      <c r="AY15" s="318">
        <f>AU15+1922</f>
        <v>19260</v>
      </c>
      <c r="AZ15" s="507">
        <v>1</v>
      </c>
      <c r="BA15" s="507">
        <f>+AVERAGE(AZ15:AZ19)</f>
        <v>0.71644739441349614</v>
      </c>
      <c r="BB15" s="507">
        <v>1</v>
      </c>
      <c r="BC15" s="342">
        <f>AY15+2080</f>
        <v>21340</v>
      </c>
      <c r="BD15" s="634">
        <v>1</v>
      </c>
      <c r="BE15" s="634">
        <f>+AVERAGE(BD15:BD19)</f>
        <v>0.72105013630437365</v>
      </c>
      <c r="BF15" s="634">
        <v>1</v>
      </c>
      <c r="BG15" s="401">
        <f>BC15+454</f>
        <v>21794</v>
      </c>
      <c r="BH15" s="637">
        <v>1</v>
      </c>
      <c r="BI15" s="637">
        <f>+AVERAGE(BH15:BH19)</f>
        <v>0.7358263205720833</v>
      </c>
      <c r="BJ15" s="637">
        <v>1</v>
      </c>
      <c r="BK15" s="28" t="s">
        <v>21</v>
      </c>
      <c r="BL15" s="57">
        <v>2020130010088</v>
      </c>
      <c r="BM15" s="32" t="s">
        <v>20</v>
      </c>
      <c r="BN15" s="28" t="s">
        <v>104</v>
      </c>
      <c r="BO15" s="30">
        <v>4452</v>
      </c>
      <c r="BP15" s="71">
        <v>1068</v>
      </c>
      <c r="BQ15" s="62">
        <f t="shared" si="5"/>
        <v>7.5578515320925618E-2</v>
      </c>
      <c r="BR15" s="71">
        <f>2675+279+BP15</f>
        <v>4022</v>
      </c>
      <c r="BS15" s="62">
        <f t="shared" si="6"/>
        <v>0.28462246125539592</v>
      </c>
      <c r="BT15" s="71">
        <f>BR15+2917+201</f>
        <v>7140</v>
      </c>
      <c r="BU15" s="62">
        <f t="shared" si="15"/>
        <v>0.50527209680843532</v>
      </c>
      <c r="BV15" s="71">
        <f>BT15+1801+233+106</f>
        <v>9280</v>
      </c>
      <c r="BW15" s="139">
        <f t="shared" si="7"/>
        <v>0.65671219305073947</v>
      </c>
      <c r="BX15" s="71">
        <f>BV15+1623</f>
        <v>10903</v>
      </c>
      <c r="BY15" s="133">
        <v>1</v>
      </c>
      <c r="BZ15" s="71">
        <f>BX15+1225+122</f>
        <v>12250</v>
      </c>
      <c r="CA15" s="136">
        <v>1</v>
      </c>
      <c r="CB15" s="261">
        <f>BZ15+2544</f>
        <v>14794</v>
      </c>
      <c r="CC15" s="268">
        <v>1</v>
      </c>
      <c r="CD15" s="261">
        <f>CB15+2544</f>
        <v>17338</v>
      </c>
      <c r="CE15" s="268">
        <v>1</v>
      </c>
      <c r="CF15" s="311">
        <f>CD15+1922</f>
        <v>19260</v>
      </c>
      <c r="CG15" s="312">
        <v>1</v>
      </c>
      <c r="CH15" s="365">
        <f>CF15+2080</f>
        <v>21340</v>
      </c>
      <c r="CI15" s="366">
        <v>1</v>
      </c>
      <c r="CJ15" s="398">
        <f>CH15+454</f>
        <v>21794</v>
      </c>
      <c r="CK15" s="383">
        <v>1</v>
      </c>
      <c r="CL15" s="31" t="s">
        <v>160</v>
      </c>
      <c r="CM15" s="31" t="s">
        <v>158</v>
      </c>
      <c r="CN15" s="32" t="s">
        <v>94</v>
      </c>
      <c r="CO15" s="29" t="s">
        <v>95</v>
      </c>
      <c r="CP15" s="32" t="s">
        <v>149</v>
      </c>
      <c r="CQ15" s="86">
        <f>1000000000+15000000</f>
        <v>1015000000</v>
      </c>
      <c r="CR15" s="86">
        <v>315000000</v>
      </c>
      <c r="CS15" s="91">
        <v>102900000</v>
      </c>
      <c r="CT15" s="100">
        <f>CS15/CR15</f>
        <v>0.32666666666666666</v>
      </c>
      <c r="CU15" s="91">
        <v>315000000</v>
      </c>
      <c r="CV15" s="91">
        <v>122696000</v>
      </c>
      <c r="CW15" s="753">
        <f>(CV15+CV16+CW20+CV17)/(CU15+CU16+CU17)</f>
        <v>0.61993756501878938</v>
      </c>
      <c r="CX15" s="91">
        <v>315000000</v>
      </c>
      <c r="CY15" s="91">
        <v>122696000</v>
      </c>
      <c r="CZ15" s="753">
        <f>(CY15+CY16+CY17)/(CX15+CX16+CX17)</f>
        <v>0.61993756492868846</v>
      </c>
      <c r="DA15" s="146">
        <v>318509660</v>
      </c>
      <c r="DB15" s="146">
        <v>126205660</v>
      </c>
      <c r="DC15" s="590">
        <f>(DB15+DB16+DB17)/(DA15+DA16+DA17)</f>
        <v>0.62248235967467325</v>
      </c>
      <c r="DD15" s="146">
        <v>318509660</v>
      </c>
      <c r="DE15" s="146">
        <v>126205660</v>
      </c>
      <c r="DF15" s="590">
        <f>(DE15+DE16+DE17)/(DD15+DD16+DD17)</f>
        <v>0.62248235967467325</v>
      </c>
      <c r="DG15" s="146">
        <v>318509660</v>
      </c>
      <c r="DH15" s="146">
        <v>126205660</v>
      </c>
      <c r="DI15" s="590">
        <f>(DH15+DH16+DH17)/(DG15+DG16+DG17)</f>
        <v>0.62045726672994239</v>
      </c>
      <c r="DJ15" s="282">
        <v>315000000</v>
      </c>
      <c r="DK15" s="256">
        <v>126205660</v>
      </c>
      <c r="DL15" s="696">
        <f>(DK15+DK16+DK17)/(DJ15+DJ16+DJ17)</f>
        <v>0.63246470757511974</v>
      </c>
      <c r="DM15" s="256">
        <v>177304000</v>
      </c>
      <c r="DN15" s="256">
        <f>+DJ15-DM15</f>
        <v>137696000</v>
      </c>
      <c r="DO15" s="256">
        <v>134696000</v>
      </c>
      <c r="DP15" s="281">
        <f>+DO15/DN15</f>
        <v>0.97821287473855445</v>
      </c>
      <c r="DQ15" s="306">
        <v>141205660</v>
      </c>
      <c r="DR15" s="306">
        <v>138205660</v>
      </c>
      <c r="DS15" s="332">
        <f>+DR15/DQ15</f>
        <v>0.97875439270635467</v>
      </c>
      <c r="DT15" s="371">
        <v>141205660</v>
      </c>
      <c r="DU15" s="371">
        <v>138205660</v>
      </c>
      <c r="DV15" s="348">
        <f>+DU15/DT15</f>
        <v>0.97875439270635467</v>
      </c>
      <c r="DW15" s="421">
        <v>141205660</v>
      </c>
      <c r="DX15" s="420">
        <v>138205660</v>
      </c>
      <c r="DY15" s="388">
        <f>DX15/DW15</f>
        <v>0.97875439270635467</v>
      </c>
      <c r="DZ15" s="55" t="s">
        <v>130</v>
      </c>
      <c r="EA15" s="164" t="s">
        <v>200</v>
      </c>
      <c r="EB15" s="163" t="s">
        <v>219</v>
      </c>
      <c r="EC15" s="169" t="s">
        <v>247</v>
      </c>
      <c r="ED15" s="169" t="s">
        <v>295</v>
      </c>
      <c r="EE15" s="171" t="s">
        <v>324</v>
      </c>
      <c r="EF15" s="217" t="s">
        <v>361</v>
      </c>
      <c r="EG15" s="265" t="s">
        <v>395</v>
      </c>
      <c r="EH15" s="289" t="s">
        <v>419</v>
      </c>
      <c r="EI15" s="299" t="s">
        <v>461</v>
      </c>
      <c r="EJ15" s="360" t="s">
        <v>497</v>
      </c>
      <c r="EK15" s="394" t="s">
        <v>530</v>
      </c>
    </row>
    <row r="16" spans="2:146" s="2" customFormat="1" ht="409.6" customHeight="1" x14ac:dyDescent="0.35">
      <c r="B16" s="506"/>
      <c r="C16" s="506"/>
      <c r="D16" s="506"/>
      <c r="E16" s="620"/>
      <c r="F16" s="620"/>
      <c r="G16" s="516"/>
      <c r="H16" s="604"/>
      <c r="I16" s="514"/>
      <c r="J16" s="514"/>
      <c r="K16" s="628"/>
      <c r="L16" s="635"/>
      <c r="M16" s="638"/>
      <c r="N16" s="506"/>
      <c r="O16" s="506"/>
      <c r="P16" s="620"/>
      <c r="Q16" s="506"/>
      <c r="R16" s="656"/>
      <c r="S16" s="656"/>
      <c r="T16" s="70">
        <v>0</v>
      </c>
      <c r="U16" s="651"/>
      <c r="V16" s="651"/>
      <c r="W16" s="62">
        <f>T16/R15</f>
        <v>0</v>
      </c>
      <c r="X16" s="70">
        <v>0</v>
      </c>
      <c r="Y16" s="651"/>
      <c r="Z16" s="651"/>
      <c r="AA16" s="62">
        <f>X16/R15</f>
        <v>0</v>
      </c>
      <c r="AB16" s="70">
        <v>0</v>
      </c>
      <c r="AC16" s="651"/>
      <c r="AD16" s="651"/>
      <c r="AE16" s="70">
        <v>0</v>
      </c>
      <c r="AF16" s="651"/>
      <c r="AG16" s="651"/>
      <c r="AH16" s="62">
        <f>AE16/R15</f>
        <v>0</v>
      </c>
      <c r="AI16" s="70">
        <v>116</v>
      </c>
      <c r="AJ16" s="651"/>
      <c r="AK16" s="651"/>
      <c r="AL16" s="62">
        <f>AI16/R15</f>
        <v>8.2089024131342444E-3</v>
      </c>
      <c r="AM16" s="70">
        <f>AI16+129</f>
        <v>245</v>
      </c>
      <c r="AN16" s="651"/>
      <c r="AO16" s="651"/>
      <c r="AP16" s="62">
        <f>AM16/R15</f>
        <v>1.7337768027740428E-2</v>
      </c>
      <c r="AQ16" s="269">
        <v>245</v>
      </c>
      <c r="AR16" s="641"/>
      <c r="AS16" s="641"/>
      <c r="AT16" s="262">
        <f>AQ16/R15</f>
        <v>1.7337768027740428E-2</v>
      </c>
      <c r="AU16" s="73">
        <f>245+82</f>
        <v>327</v>
      </c>
      <c r="AV16" s="600"/>
      <c r="AW16" s="600"/>
      <c r="AX16" s="600"/>
      <c r="AY16" s="320">
        <f>245+82</f>
        <v>327</v>
      </c>
      <c r="AZ16" s="508"/>
      <c r="BA16" s="508"/>
      <c r="BB16" s="508"/>
      <c r="BC16" s="344">
        <f>AY16+18</f>
        <v>345</v>
      </c>
      <c r="BD16" s="635"/>
      <c r="BE16" s="635"/>
      <c r="BF16" s="635"/>
      <c r="BG16" s="400">
        <v>345</v>
      </c>
      <c r="BH16" s="638"/>
      <c r="BI16" s="638"/>
      <c r="BJ16" s="638"/>
      <c r="BK16" s="28" t="s">
        <v>125</v>
      </c>
      <c r="BL16" s="57" t="s">
        <v>178</v>
      </c>
      <c r="BM16" s="50" t="s">
        <v>176</v>
      </c>
      <c r="BN16" s="28" t="s">
        <v>177</v>
      </c>
      <c r="BO16" s="30">
        <v>2135</v>
      </c>
      <c r="BP16" s="70">
        <v>0</v>
      </c>
      <c r="BQ16" s="62">
        <f>BP16/R15</f>
        <v>0</v>
      </c>
      <c r="BR16" s="70">
        <v>0</v>
      </c>
      <c r="BS16" s="62">
        <f>BR16/R15</f>
        <v>0</v>
      </c>
      <c r="BT16" s="70">
        <v>0</v>
      </c>
      <c r="BU16" s="62">
        <f>BT16/R15</f>
        <v>0</v>
      </c>
      <c r="BV16" s="70">
        <v>0</v>
      </c>
      <c r="BW16" s="138">
        <f>BV16/R15</f>
        <v>0</v>
      </c>
      <c r="BX16" s="70">
        <v>116</v>
      </c>
      <c r="BY16" s="133">
        <f t="shared" si="16"/>
        <v>5.4332552693208434E-2</v>
      </c>
      <c r="BZ16" s="238">
        <f>BX16+129</f>
        <v>245</v>
      </c>
      <c r="CA16" s="136">
        <f t="shared" si="17"/>
        <v>0.11475409836065574</v>
      </c>
      <c r="CB16" s="272">
        <v>245</v>
      </c>
      <c r="CC16" s="268">
        <f>CB16/BO16</f>
        <v>0.11475409836065574</v>
      </c>
      <c r="CD16" s="272">
        <f>+AU16</f>
        <v>327</v>
      </c>
      <c r="CE16" s="268">
        <f>+CD16/BO16</f>
        <v>0.15316159250585479</v>
      </c>
      <c r="CF16" s="316">
        <v>327</v>
      </c>
      <c r="CG16" s="312">
        <f>CF16/BO16</f>
        <v>0.15316159250585479</v>
      </c>
      <c r="CH16" s="367">
        <f>CF16+18</f>
        <v>345</v>
      </c>
      <c r="CI16" s="366">
        <f>CH16/BO16</f>
        <v>0.16159250585480095</v>
      </c>
      <c r="CJ16" s="400">
        <v>345</v>
      </c>
      <c r="CK16" s="383">
        <f>CJ16/BO16</f>
        <v>0.16159250585480095</v>
      </c>
      <c r="CL16" s="32" t="s">
        <v>160</v>
      </c>
      <c r="CM16" s="31" t="s">
        <v>159</v>
      </c>
      <c r="CN16" s="32" t="s">
        <v>94</v>
      </c>
      <c r="CO16" s="29" t="s">
        <v>95</v>
      </c>
      <c r="CP16" s="32" t="s">
        <v>150</v>
      </c>
      <c r="CQ16" s="86">
        <v>45000000</v>
      </c>
      <c r="CR16" s="86">
        <v>140000000</v>
      </c>
      <c r="CS16" s="91">
        <v>60802000</v>
      </c>
      <c r="CT16" s="100">
        <f>CS16/CR16</f>
        <v>0.43430000000000002</v>
      </c>
      <c r="CU16" s="86">
        <v>140000000</v>
      </c>
      <c r="CV16" s="91">
        <v>60802000</v>
      </c>
      <c r="CW16" s="754"/>
      <c r="CX16" s="86">
        <v>140000000</v>
      </c>
      <c r="CY16" s="91">
        <v>60802000</v>
      </c>
      <c r="CZ16" s="754"/>
      <c r="DA16" s="146">
        <v>140000000</v>
      </c>
      <c r="DB16" s="146">
        <v>60802000</v>
      </c>
      <c r="DC16" s="591"/>
      <c r="DD16" s="146">
        <v>140000000</v>
      </c>
      <c r="DE16" s="146">
        <v>60802000</v>
      </c>
      <c r="DF16" s="591"/>
      <c r="DG16" s="146">
        <v>140000000</v>
      </c>
      <c r="DH16" s="146">
        <v>60802000</v>
      </c>
      <c r="DI16" s="591"/>
      <c r="DJ16" s="256">
        <v>140000000</v>
      </c>
      <c r="DK16" s="256">
        <v>60802000</v>
      </c>
      <c r="DL16" s="697"/>
      <c r="DM16" s="256">
        <v>79198000</v>
      </c>
      <c r="DN16" s="256">
        <f>+DJ16-DM16</f>
        <v>60802000</v>
      </c>
      <c r="DO16" s="256">
        <v>60802000</v>
      </c>
      <c r="DP16" s="330">
        <f>+DO16/DN16</f>
        <v>1</v>
      </c>
      <c r="DQ16" s="306">
        <v>86191000</v>
      </c>
      <c r="DR16" s="306">
        <v>60802000</v>
      </c>
      <c r="DS16" s="331">
        <f>+DR16/DQ16</f>
        <v>0.7054332818971818</v>
      </c>
      <c r="DT16" s="371">
        <v>86191000</v>
      </c>
      <c r="DU16" s="371">
        <v>60802000</v>
      </c>
      <c r="DV16" s="351">
        <f>+DU16/DT16</f>
        <v>0.7054332818971818</v>
      </c>
      <c r="DW16" s="420">
        <v>86191000</v>
      </c>
      <c r="DX16" s="420">
        <v>60802000</v>
      </c>
      <c r="DY16" s="388">
        <f>DX16/DW16</f>
        <v>0.7054332818971818</v>
      </c>
      <c r="DZ16" s="55" t="s">
        <v>131</v>
      </c>
      <c r="EA16" s="164" t="s">
        <v>181</v>
      </c>
      <c r="EB16" s="164" t="s">
        <v>220</v>
      </c>
      <c r="EC16" s="170" t="s">
        <v>246</v>
      </c>
      <c r="ED16" s="170" t="s">
        <v>294</v>
      </c>
      <c r="EE16" s="170" t="s">
        <v>325</v>
      </c>
      <c r="EF16" s="170" t="s">
        <v>363</v>
      </c>
      <c r="EG16" s="260" t="s">
        <v>396</v>
      </c>
      <c r="EH16" s="293" t="s">
        <v>418</v>
      </c>
      <c r="EI16" s="166" t="s">
        <v>463</v>
      </c>
      <c r="EJ16" s="359" t="s">
        <v>499</v>
      </c>
      <c r="EK16" s="404" t="s">
        <v>533</v>
      </c>
    </row>
    <row r="17" spans="2:141" s="2" customFormat="1" ht="81" customHeight="1" x14ac:dyDescent="0.35">
      <c r="B17" s="506"/>
      <c r="C17" s="506"/>
      <c r="D17" s="506"/>
      <c r="E17" s="620"/>
      <c r="F17" s="620"/>
      <c r="G17" s="516"/>
      <c r="H17" s="604"/>
      <c r="I17" s="514"/>
      <c r="J17" s="514"/>
      <c r="K17" s="628"/>
      <c r="L17" s="635"/>
      <c r="M17" s="638"/>
      <c r="N17" s="506"/>
      <c r="O17" s="506"/>
      <c r="P17" s="620"/>
      <c r="Q17" s="506"/>
      <c r="R17" s="656"/>
      <c r="S17" s="656"/>
      <c r="T17" s="71">
        <v>4004</v>
      </c>
      <c r="U17" s="652"/>
      <c r="V17" s="651"/>
      <c r="W17" s="62">
        <f>T17/R15</f>
        <v>0.28334866605335784</v>
      </c>
      <c r="X17" s="71">
        <f>595+662+62+T17</f>
        <v>5323</v>
      </c>
      <c r="Y17" s="652"/>
      <c r="Z17" s="651"/>
      <c r="AA17" s="62">
        <f>X17/R15</f>
        <v>0.37668954780270325</v>
      </c>
      <c r="AB17" s="71">
        <f>X17+47+71</f>
        <v>5441</v>
      </c>
      <c r="AC17" s="652"/>
      <c r="AD17" s="651"/>
      <c r="AE17" s="71">
        <f>145+AB17</f>
        <v>5586</v>
      </c>
      <c r="AF17" s="652"/>
      <c r="AG17" s="651"/>
      <c r="AH17" s="97">
        <f>AE17/R15</f>
        <v>0.39530111103248178</v>
      </c>
      <c r="AI17" s="71">
        <f>AE17-1142</f>
        <v>4444</v>
      </c>
      <c r="AJ17" s="652"/>
      <c r="AK17" s="651"/>
      <c r="AL17" s="184">
        <f>AI17/R15</f>
        <v>0.31448588210317741</v>
      </c>
      <c r="AM17" s="71">
        <f>AI17+302</f>
        <v>4746</v>
      </c>
      <c r="AN17" s="652"/>
      <c r="AO17" s="651"/>
      <c r="AP17" s="184">
        <f>AM17/R15</f>
        <v>0.33585733493737174</v>
      </c>
      <c r="AQ17" s="261">
        <v>4568</v>
      </c>
      <c r="AR17" s="642"/>
      <c r="AS17" s="641"/>
      <c r="AT17" s="276">
        <f>AQ17/R15</f>
        <v>0.32326091571721749</v>
      </c>
      <c r="AU17" s="95">
        <f>4568+167</f>
        <v>4735</v>
      </c>
      <c r="AV17" s="601"/>
      <c r="AW17" s="600"/>
      <c r="AX17" s="601"/>
      <c r="AY17" s="318">
        <v>4852</v>
      </c>
      <c r="AZ17" s="509"/>
      <c r="BA17" s="508"/>
      <c r="BB17" s="509"/>
      <c r="BC17" s="342">
        <v>4598</v>
      </c>
      <c r="BD17" s="636"/>
      <c r="BE17" s="635"/>
      <c r="BF17" s="636"/>
      <c r="BG17" s="402">
        <v>3971</v>
      </c>
      <c r="BH17" s="639"/>
      <c r="BI17" s="638"/>
      <c r="BJ17" s="639"/>
      <c r="BK17" s="620" t="s">
        <v>18</v>
      </c>
      <c r="BL17" s="619">
        <v>2020130010055</v>
      </c>
      <c r="BM17" s="620" t="s">
        <v>7</v>
      </c>
      <c r="BN17" s="621" t="s">
        <v>105</v>
      </c>
      <c r="BO17" s="33">
        <v>4404</v>
      </c>
      <c r="BP17" s="71">
        <v>4004</v>
      </c>
      <c r="BQ17" s="62">
        <f>BP17/R15</f>
        <v>0.28334866605335784</v>
      </c>
      <c r="BR17" s="71">
        <f>595+662+62+BP17</f>
        <v>5323</v>
      </c>
      <c r="BS17" s="62">
        <f>BR17/R15</f>
        <v>0.37668954780270325</v>
      </c>
      <c r="BT17" s="71">
        <f>BR17+47+71</f>
        <v>5441</v>
      </c>
      <c r="BU17" s="99">
        <f>BT17/R15</f>
        <v>0.38503998301606396</v>
      </c>
      <c r="BV17" s="71">
        <v>5586</v>
      </c>
      <c r="BW17" s="140">
        <f>BV17/R15</f>
        <v>0.39530111103248178</v>
      </c>
      <c r="BX17" s="71">
        <f>BV17-1142</f>
        <v>4444</v>
      </c>
      <c r="BY17" s="133">
        <v>1</v>
      </c>
      <c r="BZ17" s="71">
        <f>BX17+302</f>
        <v>4746</v>
      </c>
      <c r="CA17" s="136">
        <v>1</v>
      </c>
      <c r="CB17" s="261">
        <v>4568</v>
      </c>
      <c r="CC17" s="268">
        <v>1</v>
      </c>
      <c r="CD17" s="261">
        <v>4735</v>
      </c>
      <c r="CE17" s="268">
        <v>1</v>
      </c>
      <c r="CF17" s="311">
        <v>4852</v>
      </c>
      <c r="CG17" s="312">
        <v>1</v>
      </c>
      <c r="CH17" s="365">
        <v>4598</v>
      </c>
      <c r="CI17" s="366">
        <v>1</v>
      </c>
      <c r="CJ17" s="398">
        <v>3971</v>
      </c>
      <c r="CK17" s="383">
        <v>1</v>
      </c>
      <c r="CL17" s="32" t="s">
        <v>160</v>
      </c>
      <c r="CM17" s="31" t="s">
        <v>159</v>
      </c>
      <c r="CN17" s="620" t="s">
        <v>94</v>
      </c>
      <c r="CO17" s="620" t="s">
        <v>95</v>
      </c>
      <c r="CP17" s="742" t="s">
        <v>151</v>
      </c>
      <c r="CQ17" s="752">
        <f>254373578+1246600130</f>
        <v>1500973708</v>
      </c>
      <c r="CR17" s="752">
        <f>254373578+1246600130+730000000</f>
        <v>2230973708</v>
      </c>
      <c r="CS17" s="744">
        <f>207900000+1220938000+37800000</f>
        <v>1466638000</v>
      </c>
      <c r="CT17" s="749">
        <f>CS17/CR17</f>
        <v>0.65739815522738554</v>
      </c>
      <c r="CU17" s="474">
        <f>254373578+1246600130+730000000</f>
        <v>2230973708</v>
      </c>
      <c r="CV17" s="474">
        <v>1481638000</v>
      </c>
      <c r="CW17" s="754"/>
      <c r="CX17" s="474">
        <f>254373578+1246600130+730000000</f>
        <v>2230973708</v>
      </c>
      <c r="CY17" s="474">
        <v>1481638000</v>
      </c>
      <c r="CZ17" s="754"/>
      <c r="DA17" s="728">
        <v>2298547486</v>
      </c>
      <c r="DB17" s="728">
        <v>1529211778</v>
      </c>
      <c r="DC17" s="591"/>
      <c r="DD17" s="728">
        <v>2298547486</v>
      </c>
      <c r="DE17" s="728">
        <v>1529211778</v>
      </c>
      <c r="DF17" s="591"/>
      <c r="DG17" s="728">
        <v>2370997486</v>
      </c>
      <c r="DH17" s="728">
        <v>1568580610</v>
      </c>
      <c r="DI17" s="591"/>
      <c r="DJ17" s="726">
        <v>2323423708</v>
      </c>
      <c r="DK17" s="493">
        <v>1570247278</v>
      </c>
      <c r="DL17" s="697"/>
      <c r="DM17" s="493">
        <v>692200000</v>
      </c>
      <c r="DN17" s="493">
        <f>+DJ17-DM17</f>
        <v>1631223708</v>
      </c>
      <c r="DO17" s="493">
        <v>1510873500</v>
      </c>
      <c r="DP17" s="483">
        <f>+DO17/DN17</f>
        <v>0.92622090556324843</v>
      </c>
      <c r="DQ17" s="490">
        <v>1653408486</v>
      </c>
      <c r="DR17" s="490">
        <v>1558447278</v>
      </c>
      <c r="DS17" s="713">
        <f>+DR17/DQ17</f>
        <v>0.94256639614222959</v>
      </c>
      <c r="DT17" s="759">
        <v>1653408486</v>
      </c>
      <c r="DU17" s="759">
        <v>1558447278</v>
      </c>
      <c r="DV17" s="808">
        <f>+DU17/DT17</f>
        <v>0.94256639614222959</v>
      </c>
      <c r="DW17" s="687">
        <v>1653408486</v>
      </c>
      <c r="DX17" s="687">
        <v>1547835611</v>
      </c>
      <c r="DY17" s="689">
        <f>DX17/DW17</f>
        <v>0.93614834090067689</v>
      </c>
      <c r="DZ17" s="676" t="s">
        <v>115</v>
      </c>
      <c r="EA17" s="717" t="s">
        <v>201</v>
      </c>
      <c r="EB17" s="807" t="s">
        <v>221</v>
      </c>
      <c r="EC17" s="692" t="s">
        <v>245</v>
      </c>
      <c r="ED17" s="692" t="s">
        <v>281</v>
      </c>
      <c r="EE17" s="576" t="s">
        <v>326</v>
      </c>
      <c r="EF17" s="576" t="s">
        <v>362</v>
      </c>
      <c r="EG17" s="561" t="s">
        <v>397</v>
      </c>
      <c r="EH17" s="569" t="s">
        <v>420</v>
      </c>
      <c r="EI17" s="548" t="s">
        <v>462</v>
      </c>
      <c r="EJ17" s="788" t="s">
        <v>498</v>
      </c>
      <c r="EK17" s="776" t="s">
        <v>532</v>
      </c>
    </row>
    <row r="18" spans="2:141" s="2" customFormat="1" ht="116.25" customHeight="1" x14ac:dyDescent="0.35">
      <c r="B18" s="506"/>
      <c r="C18" s="506"/>
      <c r="D18" s="506"/>
      <c r="E18" s="620"/>
      <c r="F18" s="620"/>
      <c r="G18" s="516"/>
      <c r="H18" s="604"/>
      <c r="I18" s="514"/>
      <c r="J18" s="514"/>
      <c r="K18" s="628"/>
      <c r="L18" s="635"/>
      <c r="M18" s="638"/>
      <c r="N18" s="506"/>
      <c r="O18" s="34" t="s">
        <v>68</v>
      </c>
      <c r="P18" s="35">
        <v>14300</v>
      </c>
      <c r="Q18" s="34" t="s">
        <v>67</v>
      </c>
      <c r="R18" s="30">
        <v>19448</v>
      </c>
      <c r="S18" s="30">
        <v>16874</v>
      </c>
      <c r="T18" s="70">
        <v>0</v>
      </c>
      <c r="U18" s="62">
        <f>T18/S18</f>
        <v>0</v>
      </c>
      <c r="V18" s="651"/>
      <c r="W18" s="62">
        <f>T18/R18</f>
        <v>0</v>
      </c>
      <c r="X18" s="70">
        <v>0</v>
      </c>
      <c r="Y18" s="62">
        <f>X18/S18</f>
        <v>0</v>
      </c>
      <c r="Z18" s="651"/>
      <c r="AA18" s="62">
        <f>X18/R18</f>
        <v>0</v>
      </c>
      <c r="AB18" s="70">
        <v>0</v>
      </c>
      <c r="AC18" s="62">
        <f>AB18/S18</f>
        <v>0</v>
      </c>
      <c r="AD18" s="651"/>
      <c r="AE18" s="70">
        <v>0</v>
      </c>
      <c r="AF18" s="62">
        <f>AE18/S18</f>
        <v>0</v>
      </c>
      <c r="AG18" s="651"/>
      <c r="AH18" s="62">
        <f>AE18/R18</f>
        <v>0</v>
      </c>
      <c r="AI18" s="70">
        <v>0</v>
      </c>
      <c r="AJ18" s="62">
        <f>AI18/S18</f>
        <v>0</v>
      </c>
      <c r="AK18" s="651"/>
      <c r="AL18" s="62">
        <f>AI18/R18</f>
        <v>0</v>
      </c>
      <c r="AM18" s="70">
        <v>0</v>
      </c>
      <c r="AN18" s="62">
        <f>AM18/S18</f>
        <v>0</v>
      </c>
      <c r="AO18" s="651"/>
      <c r="AP18" s="62">
        <f>AM18/R18</f>
        <v>0</v>
      </c>
      <c r="AQ18" s="269">
        <v>0</v>
      </c>
      <c r="AR18" s="262">
        <f>AQ18/S18</f>
        <v>0</v>
      </c>
      <c r="AS18" s="641"/>
      <c r="AT18" s="262">
        <f>AQ18/R18</f>
        <v>0</v>
      </c>
      <c r="AU18" s="73">
        <v>609</v>
      </c>
      <c r="AV18" s="64">
        <f>AU18/S18</f>
        <v>3.6091027616451346E-2</v>
      </c>
      <c r="AW18" s="600"/>
      <c r="AX18" s="64">
        <f>AU18/R18</f>
        <v>3.1314273961332788E-2</v>
      </c>
      <c r="AY18" s="318">
        <f>AU18+1911</f>
        <v>2520</v>
      </c>
      <c r="AZ18" s="323">
        <f>AY18/S18</f>
        <v>0.14934218324048831</v>
      </c>
      <c r="BA18" s="508"/>
      <c r="BB18" s="323">
        <f>AY18/R18</f>
        <v>0.12957630604689427</v>
      </c>
      <c r="BC18" s="342">
        <f>2520+150+83</f>
        <v>2753</v>
      </c>
      <c r="BD18" s="343">
        <f>BC18/S18</f>
        <v>0.16315040891312077</v>
      </c>
      <c r="BE18" s="635"/>
      <c r="BF18" s="343">
        <f>BC18/R18</f>
        <v>0.14155697243932538</v>
      </c>
      <c r="BG18" s="398">
        <f>BC18+748</f>
        <v>3501</v>
      </c>
      <c r="BH18" s="379">
        <f>BG18/S18</f>
        <v>0.20747896171624985</v>
      </c>
      <c r="BI18" s="638"/>
      <c r="BJ18" s="379">
        <f>BG18/R18</f>
        <v>0.18001851090086385</v>
      </c>
      <c r="BK18" s="620"/>
      <c r="BL18" s="619"/>
      <c r="BM18" s="620"/>
      <c r="BN18" s="621"/>
      <c r="BO18" s="33">
        <v>16874</v>
      </c>
      <c r="BP18" s="70">
        <v>0</v>
      </c>
      <c r="BQ18" s="62">
        <f>BP18/R18</f>
        <v>0</v>
      </c>
      <c r="BR18" s="70">
        <v>0</v>
      </c>
      <c r="BS18" s="62">
        <f>BR18/S18</f>
        <v>0</v>
      </c>
      <c r="BT18" s="70">
        <v>0</v>
      </c>
      <c r="BU18" s="62">
        <f>BT18/R18</f>
        <v>0</v>
      </c>
      <c r="BV18" s="70">
        <v>0</v>
      </c>
      <c r="BW18" s="136">
        <f>BV18/R18</f>
        <v>0</v>
      </c>
      <c r="BX18" s="70">
        <v>0</v>
      </c>
      <c r="BY18" s="133">
        <f t="shared" si="16"/>
        <v>0</v>
      </c>
      <c r="BZ18" s="238">
        <v>0</v>
      </c>
      <c r="CA18" s="136">
        <f t="shared" si="17"/>
        <v>0</v>
      </c>
      <c r="CB18" s="272">
        <v>0</v>
      </c>
      <c r="CC18" s="268">
        <f>CB18/BO18</f>
        <v>0</v>
      </c>
      <c r="CD18" s="272">
        <v>609</v>
      </c>
      <c r="CE18" s="268">
        <f>+CD18/BO18</f>
        <v>3.6091027616451346E-2</v>
      </c>
      <c r="CF18" s="311">
        <f>CD18+1911</f>
        <v>2520</v>
      </c>
      <c r="CG18" s="312">
        <f>CF18/BO18</f>
        <v>0.14934218324048831</v>
      </c>
      <c r="CH18" s="365">
        <f>2520+150+83</f>
        <v>2753</v>
      </c>
      <c r="CI18" s="366">
        <f>CH18/BO18</f>
        <v>0.16315040891312077</v>
      </c>
      <c r="CJ18" s="398">
        <f>CH18+748</f>
        <v>3501</v>
      </c>
      <c r="CK18" s="383">
        <f>CJ18/BO18</f>
        <v>0.20747896171624985</v>
      </c>
      <c r="CL18" s="32" t="s">
        <v>160</v>
      </c>
      <c r="CM18" s="31" t="s">
        <v>159</v>
      </c>
      <c r="CN18" s="620"/>
      <c r="CO18" s="620"/>
      <c r="CP18" s="742"/>
      <c r="CQ18" s="752"/>
      <c r="CR18" s="752"/>
      <c r="CS18" s="745"/>
      <c r="CT18" s="750"/>
      <c r="CU18" s="475"/>
      <c r="CV18" s="475"/>
      <c r="CW18" s="754"/>
      <c r="CX18" s="475"/>
      <c r="CY18" s="475"/>
      <c r="CZ18" s="754"/>
      <c r="DA18" s="729"/>
      <c r="DB18" s="729"/>
      <c r="DC18" s="591"/>
      <c r="DD18" s="729"/>
      <c r="DE18" s="729"/>
      <c r="DF18" s="591"/>
      <c r="DG18" s="729"/>
      <c r="DH18" s="729"/>
      <c r="DI18" s="591"/>
      <c r="DJ18" s="484"/>
      <c r="DK18" s="484"/>
      <c r="DL18" s="697"/>
      <c r="DM18" s="484"/>
      <c r="DN18" s="484"/>
      <c r="DO18" s="484"/>
      <c r="DP18" s="484"/>
      <c r="DQ18" s="491"/>
      <c r="DR18" s="491"/>
      <c r="DS18" s="718"/>
      <c r="DT18" s="760"/>
      <c r="DU18" s="760"/>
      <c r="DV18" s="814"/>
      <c r="DW18" s="811"/>
      <c r="DX18" s="811"/>
      <c r="DY18" s="736"/>
      <c r="DZ18" s="676"/>
      <c r="EA18" s="717"/>
      <c r="EB18" s="807"/>
      <c r="EC18" s="692"/>
      <c r="ED18" s="692"/>
      <c r="EE18" s="577"/>
      <c r="EF18" s="577"/>
      <c r="EG18" s="562"/>
      <c r="EH18" s="570"/>
      <c r="EI18" s="549"/>
      <c r="EJ18" s="789"/>
      <c r="EK18" s="777"/>
    </row>
    <row r="19" spans="2:141" s="2" customFormat="1" ht="195" customHeight="1" x14ac:dyDescent="0.35">
      <c r="B19" s="506"/>
      <c r="C19" s="506"/>
      <c r="D19" s="506"/>
      <c r="E19" s="620"/>
      <c r="F19" s="620"/>
      <c r="G19" s="517"/>
      <c r="H19" s="605"/>
      <c r="I19" s="457"/>
      <c r="J19" s="457"/>
      <c r="K19" s="629"/>
      <c r="L19" s="636"/>
      <c r="M19" s="639"/>
      <c r="N19" s="506"/>
      <c r="O19" s="34" t="s">
        <v>70</v>
      </c>
      <c r="P19" s="35">
        <v>28</v>
      </c>
      <c r="Q19" s="34" t="s">
        <v>69</v>
      </c>
      <c r="R19" s="30">
        <v>18</v>
      </c>
      <c r="S19" s="30">
        <v>5</v>
      </c>
      <c r="T19" s="70">
        <v>0</v>
      </c>
      <c r="U19" s="62">
        <f>T19/S19</f>
        <v>0</v>
      </c>
      <c r="V19" s="652"/>
      <c r="W19" s="62">
        <f>T19/R19</f>
        <v>0</v>
      </c>
      <c r="X19" s="70">
        <v>0</v>
      </c>
      <c r="Y19" s="62">
        <f>X19/S19</f>
        <v>0</v>
      </c>
      <c r="Z19" s="652"/>
      <c r="AA19" s="62">
        <f>X19/R19</f>
        <v>0</v>
      </c>
      <c r="AB19" s="70">
        <v>0</v>
      </c>
      <c r="AC19" s="62">
        <f>AB19/S19</f>
        <v>0</v>
      </c>
      <c r="AD19" s="652"/>
      <c r="AE19" s="70">
        <v>0</v>
      </c>
      <c r="AF19" s="62">
        <f>AE19/S19</f>
        <v>0</v>
      </c>
      <c r="AG19" s="652"/>
      <c r="AH19" s="62">
        <f>AE19/R19</f>
        <v>0</v>
      </c>
      <c r="AI19" s="70">
        <v>0</v>
      </c>
      <c r="AJ19" s="62">
        <f>AI19/S19</f>
        <v>0</v>
      </c>
      <c r="AK19" s="652"/>
      <c r="AL19" s="62">
        <f>AI19/R19</f>
        <v>0</v>
      </c>
      <c r="AM19" s="70">
        <v>0</v>
      </c>
      <c r="AN19" s="62">
        <f>AM19/S19</f>
        <v>0</v>
      </c>
      <c r="AO19" s="652"/>
      <c r="AP19" s="62">
        <f>AM19/R19</f>
        <v>0</v>
      </c>
      <c r="AQ19" s="269">
        <v>0</v>
      </c>
      <c r="AR19" s="262">
        <f>AQ19/S19</f>
        <v>0</v>
      </c>
      <c r="AS19" s="642"/>
      <c r="AT19" s="262">
        <f>AQ19/R19</f>
        <v>0</v>
      </c>
      <c r="AU19" s="73">
        <v>3</v>
      </c>
      <c r="AV19" s="64">
        <f>AU19/S19</f>
        <v>0.6</v>
      </c>
      <c r="AW19" s="601"/>
      <c r="AX19" s="64">
        <f>AU19/R19</f>
        <v>0.16666666666666666</v>
      </c>
      <c r="AY19" s="320">
        <f>AU19+4</f>
        <v>7</v>
      </c>
      <c r="AZ19" s="323">
        <v>1</v>
      </c>
      <c r="BA19" s="509"/>
      <c r="BB19" s="323">
        <f>AY19/R19</f>
        <v>0.3888888888888889</v>
      </c>
      <c r="BC19" s="344">
        <v>7</v>
      </c>
      <c r="BD19" s="343">
        <v>1</v>
      </c>
      <c r="BE19" s="636"/>
      <c r="BF19" s="343">
        <f>BC19/R19</f>
        <v>0.3888888888888889</v>
      </c>
      <c r="BG19" s="403">
        <f>BC19+2</f>
        <v>9</v>
      </c>
      <c r="BH19" s="379">
        <v>1</v>
      </c>
      <c r="BI19" s="639"/>
      <c r="BJ19" s="379">
        <f>BG19/R19</f>
        <v>0.5</v>
      </c>
      <c r="BK19" s="620"/>
      <c r="BL19" s="619"/>
      <c r="BM19" s="620"/>
      <c r="BN19" s="621"/>
      <c r="BO19" s="33">
        <v>5</v>
      </c>
      <c r="BP19" s="70">
        <v>0</v>
      </c>
      <c r="BQ19" s="62">
        <f>BP19/R19</f>
        <v>0</v>
      </c>
      <c r="BR19" s="70">
        <v>0</v>
      </c>
      <c r="BS19" s="62">
        <f>BR19/R19</f>
        <v>0</v>
      </c>
      <c r="BT19" s="70">
        <v>0</v>
      </c>
      <c r="BU19" s="62">
        <f>BT19/R19</f>
        <v>0</v>
      </c>
      <c r="BV19" s="70">
        <v>0</v>
      </c>
      <c r="BW19" s="136">
        <f>BV19/R19</f>
        <v>0</v>
      </c>
      <c r="BX19" s="70">
        <v>0</v>
      </c>
      <c r="BY19" s="133">
        <f t="shared" si="16"/>
        <v>0</v>
      </c>
      <c r="BZ19" s="238">
        <v>0</v>
      </c>
      <c r="CA19" s="136">
        <f t="shared" si="17"/>
        <v>0</v>
      </c>
      <c r="CB19" s="272">
        <v>0</v>
      </c>
      <c r="CC19" s="268">
        <f>CB19/BO19</f>
        <v>0</v>
      </c>
      <c r="CD19" s="272">
        <v>3</v>
      </c>
      <c r="CE19" s="268">
        <f>+CD19/BO19</f>
        <v>0.6</v>
      </c>
      <c r="CF19" s="316">
        <f>CD19+4</f>
        <v>7</v>
      </c>
      <c r="CG19" s="312">
        <v>1</v>
      </c>
      <c r="CH19" s="365">
        <v>7</v>
      </c>
      <c r="CI19" s="366">
        <v>1</v>
      </c>
      <c r="CJ19" s="398">
        <f>CH19+2</f>
        <v>9</v>
      </c>
      <c r="CK19" s="383">
        <v>1</v>
      </c>
      <c r="CL19" s="32" t="s">
        <v>160</v>
      </c>
      <c r="CM19" s="31" t="s">
        <v>159</v>
      </c>
      <c r="CN19" s="620"/>
      <c r="CO19" s="620"/>
      <c r="CP19" s="742"/>
      <c r="CQ19" s="752"/>
      <c r="CR19" s="752"/>
      <c r="CS19" s="746"/>
      <c r="CT19" s="751"/>
      <c r="CU19" s="476"/>
      <c r="CV19" s="476"/>
      <c r="CW19" s="755"/>
      <c r="CX19" s="476"/>
      <c r="CY19" s="476"/>
      <c r="CZ19" s="755"/>
      <c r="DA19" s="730"/>
      <c r="DB19" s="730"/>
      <c r="DC19" s="592"/>
      <c r="DD19" s="730"/>
      <c r="DE19" s="730"/>
      <c r="DF19" s="592"/>
      <c r="DG19" s="730"/>
      <c r="DH19" s="730"/>
      <c r="DI19" s="592"/>
      <c r="DJ19" s="485"/>
      <c r="DK19" s="485"/>
      <c r="DL19" s="698"/>
      <c r="DM19" s="485"/>
      <c r="DN19" s="485"/>
      <c r="DO19" s="485"/>
      <c r="DP19" s="485"/>
      <c r="DQ19" s="492"/>
      <c r="DR19" s="492"/>
      <c r="DS19" s="719"/>
      <c r="DT19" s="761"/>
      <c r="DU19" s="761"/>
      <c r="DV19" s="815"/>
      <c r="DW19" s="688"/>
      <c r="DX19" s="688"/>
      <c r="DY19" s="690"/>
      <c r="DZ19" s="676"/>
      <c r="EA19" s="717"/>
      <c r="EB19" s="807"/>
      <c r="EC19" s="692"/>
      <c r="ED19" s="692"/>
      <c r="EE19" s="578"/>
      <c r="EF19" s="578"/>
      <c r="EG19" s="563"/>
      <c r="EH19" s="571"/>
      <c r="EI19" s="550"/>
      <c r="EJ19" s="790"/>
      <c r="EK19" s="778"/>
    </row>
    <row r="20" spans="2:141" s="2" customFormat="1" ht="343.5" customHeight="1" x14ac:dyDescent="0.35">
      <c r="B20" s="36" t="s">
        <v>36</v>
      </c>
      <c r="C20" s="36" t="s">
        <v>37</v>
      </c>
      <c r="D20" s="36" t="s">
        <v>16</v>
      </c>
      <c r="E20" s="37">
        <v>1049212</v>
      </c>
      <c r="F20" s="37">
        <f>+E20*8%</f>
        <v>83936.960000000006</v>
      </c>
      <c r="G20" s="515">
        <v>0.32</v>
      </c>
      <c r="H20" s="603">
        <v>0.36534561175434516</v>
      </c>
      <c r="I20" s="456">
        <f>(AQ20+AQ21+AQ22+AQ23+AQ24+AQ15+AQ16+AQ17)/F15</f>
        <v>0.44277276660960796</v>
      </c>
      <c r="J20" s="456">
        <f>+J15</f>
        <v>0.58460539909951459</v>
      </c>
      <c r="K20" s="627">
        <f>+K15</f>
        <v>0.69504542456624585</v>
      </c>
      <c r="L20" s="634">
        <v>0.75597210096720202</v>
      </c>
      <c r="M20" s="637">
        <v>0.80492550599878765</v>
      </c>
      <c r="N20" s="513" t="s">
        <v>71</v>
      </c>
      <c r="O20" s="513" t="s">
        <v>73</v>
      </c>
      <c r="P20" s="512">
        <v>27432</v>
      </c>
      <c r="Q20" s="513" t="s">
        <v>72</v>
      </c>
      <c r="R20" s="626">
        <v>24984.400000000001</v>
      </c>
      <c r="S20" s="626">
        <v>21415</v>
      </c>
      <c r="T20" s="72">
        <f>35+129</f>
        <v>164</v>
      </c>
      <c r="U20" s="63">
        <f>T20/S20</f>
        <v>7.6581835162269438E-3</v>
      </c>
      <c r="V20" s="603">
        <f>(U20+U21+U22+U23+U24+U25)/6</f>
        <v>9.9540820297299402E-3</v>
      </c>
      <c r="W20" s="63">
        <f>T20/R20</f>
        <v>6.5640959959014419E-3</v>
      </c>
      <c r="X20" s="98">
        <f>1182+178+T20</f>
        <v>1524</v>
      </c>
      <c r="Y20" s="647">
        <f>(X20+X21+X22+X23)/S20</f>
        <v>0.310063039925286</v>
      </c>
      <c r="Z20" s="603">
        <f>(Y20+Y24+Y25)/3</f>
        <v>0.103354346641762</v>
      </c>
      <c r="AA20" s="63">
        <f>X20/R20</f>
        <v>6.0998062791181695E-2</v>
      </c>
      <c r="AB20" s="98">
        <f>X20+274</f>
        <v>1798</v>
      </c>
      <c r="AC20" s="647">
        <f>(AB20+AB21+AB22+AB23)/S20</f>
        <v>0.44039224842400188</v>
      </c>
      <c r="AD20" s="603">
        <f>(AC20+AC24+AC25)/3</f>
        <v>0.14679741614133396</v>
      </c>
      <c r="AE20" s="98">
        <f>AB20+145+93</f>
        <v>2036</v>
      </c>
      <c r="AF20" s="603">
        <f>(AE20+AE21+AE22+AE23)/S20</f>
        <v>0.49512024282045297</v>
      </c>
      <c r="AG20" s="603">
        <f>(AF20+AF24+AF25)/3</f>
        <v>0.16504008094015099</v>
      </c>
      <c r="AH20" s="63">
        <v>19.54</v>
      </c>
      <c r="AI20" s="98">
        <v>1954</v>
      </c>
      <c r="AJ20" s="644">
        <f>(AI20+AI21+AI22+AI23)/S20</f>
        <v>0.54849404622927855</v>
      </c>
      <c r="AK20" s="603">
        <f>(AJ20+AJ24+AJ25)/3</f>
        <v>0.18283134874309284</v>
      </c>
      <c r="AL20" s="63">
        <f>AI20/R20</f>
        <v>7.8208802292630594E-2</v>
      </c>
      <c r="AM20" s="98">
        <f>1954+50</f>
        <v>2004</v>
      </c>
      <c r="AN20" s="644">
        <f>(AM20+AM21+AM22+AM23)/S20</f>
        <v>0.62689703478869951</v>
      </c>
      <c r="AO20" s="603">
        <f>(AN20+AN24+AN25)/3</f>
        <v>0.20896567826289983</v>
      </c>
      <c r="AP20" s="63">
        <f>AM20/R20</f>
        <v>8.0210051071868835E-2</v>
      </c>
      <c r="AQ20" s="261">
        <f>AM20+50</f>
        <v>2054</v>
      </c>
      <c r="AR20" s="640">
        <f>(AQ20+AQ21+AQ22+AQ23)/S20</f>
        <v>0.78416997431706748</v>
      </c>
      <c r="AS20" s="640">
        <f>(AR20+AR24+AR25)/3</f>
        <v>0.47432496151105252</v>
      </c>
      <c r="AT20" s="262">
        <f>AQ20/S20</f>
        <v>9.5914078916647216E-2</v>
      </c>
      <c r="AU20" s="95">
        <f>AQ20+50</f>
        <v>2104</v>
      </c>
      <c r="AV20" s="599">
        <v>1</v>
      </c>
      <c r="AW20" s="599">
        <f>(AV20+AV24+AV25)/3</f>
        <v>0.62531196104291376</v>
      </c>
      <c r="AX20" s="599">
        <f>(AU20+AU21+AU22+AU23)/R20</f>
        <v>0.98317350026416483</v>
      </c>
      <c r="AY20" s="318">
        <f>AU20+921</f>
        <v>3025</v>
      </c>
      <c r="AZ20" s="507">
        <v>1</v>
      </c>
      <c r="BA20" s="507">
        <f>(AZ20+AZ24+AZ25)/3</f>
        <v>0.62531196104291376</v>
      </c>
      <c r="BB20" s="507">
        <v>1</v>
      </c>
      <c r="BC20" s="342">
        <v>3025</v>
      </c>
      <c r="BD20" s="634">
        <v>1</v>
      </c>
      <c r="BE20" s="634">
        <f>(BD20+BD24+BD25)/3</f>
        <v>0.69502215007946988</v>
      </c>
      <c r="BF20" s="634">
        <v>1</v>
      </c>
      <c r="BG20" s="398">
        <v>3025</v>
      </c>
      <c r="BH20" s="637">
        <v>1</v>
      </c>
      <c r="BI20" s="637">
        <f>(BH20+BH24+BH25)/3</f>
        <v>0.70263095600419323</v>
      </c>
      <c r="BJ20" s="637">
        <v>1</v>
      </c>
      <c r="BK20" s="37" t="s">
        <v>99</v>
      </c>
      <c r="BL20" s="58">
        <v>2020130010258</v>
      </c>
      <c r="BM20" s="37" t="s">
        <v>103</v>
      </c>
      <c r="BN20" s="39" t="s">
        <v>102</v>
      </c>
      <c r="BO20" s="40">
        <v>1939</v>
      </c>
      <c r="BP20" s="72">
        <v>164</v>
      </c>
      <c r="BQ20" s="63">
        <f>BP20/R20</f>
        <v>6.5640959959014419E-3</v>
      </c>
      <c r="BR20" s="98">
        <f>178+1182+BP20</f>
        <v>1524</v>
      </c>
      <c r="BS20" s="63">
        <f>BR20/R20</f>
        <v>6.0998062791181695E-2</v>
      </c>
      <c r="BT20" s="98">
        <f>BR20+274</f>
        <v>1798</v>
      </c>
      <c r="BU20" s="63">
        <f>BT20/R20</f>
        <v>7.1964906101407281E-2</v>
      </c>
      <c r="BV20" s="98">
        <f>1798+145+93</f>
        <v>2036</v>
      </c>
      <c r="BW20" s="141">
        <f>BV20/R20</f>
        <v>8.1490850290581313E-2</v>
      </c>
      <c r="BX20" s="98">
        <v>1954</v>
      </c>
      <c r="BY20" s="133">
        <v>1</v>
      </c>
      <c r="BZ20" s="98">
        <f>BX20+50</f>
        <v>2004</v>
      </c>
      <c r="CA20" s="142">
        <v>1</v>
      </c>
      <c r="CB20" s="261">
        <f>BZ20+50</f>
        <v>2054</v>
      </c>
      <c r="CC20" s="268">
        <v>1</v>
      </c>
      <c r="CD20" s="261">
        <f>CB20+50</f>
        <v>2104</v>
      </c>
      <c r="CE20" s="268">
        <v>1</v>
      </c>
      <c r="CF20" s="311">
        <f>CD20+870+51</f>
        <v>3025</v>
      </c>
      <c r="CG20" s="312">
        <v>1</v>
      </c>
      <c r="CH20" s="365">
        <v>3025</v>
      </c>
      <c r="CI20" s="366">
        <v>1</v>
      </c>
      <c r="CJ20" s="398">
        <v>3025</v>
      </c>
      <c r="CK20" s="383">
        <v>1</v>
      </c>
      <c r="CL20" s="37" t="s">
        <v>160</v>
      </c>
      <c r="CM20" s="37" t="s">
        <v>158</v>
      </c>
      <c r="CN20" s="37" t="s">
        <v>94</v>
      </c>
      <c r="CO20" s="38" t="s">
        <v>95</v>
      </c>
      <c r="CP20" s="49" t="s">
        <v>152</v>
      </c>
      <c r="CQ20" s="87">
        <v>500000000</v>
      </c>
      <c r="CR20" s="87">
        <v>500000000</v>
      </c>
      <c r="CS20" s="88">
        <v>85400000</v>
      </c>
      <c r="CT20" s="101">
        <f>CS20/CR20</f>
        <v>0.17080000000000001</v>
      </c>
      <c r="CU20" s="88">
        <v>500000000</v>
      </c>
      <c r="CV20" s="88">
        <v>99400000</v>
      </c>
      <c r="CW20" s="593">
        <f>(CV20+CV21+CV22+CV23)/(CU20+CU21+CU22+CU23)</f>
        <v>0.24200859554603055</v>
      </c>
      <c r="CX20" s="88">
        <v>500000000</v>
      </c>
      <c r="CY20" s="88">
        <v>99400000</v>
      </c>
      <c r="CZ20" s="593">
        <f>(CY20+CY21+CY22+CY23)/(CX23+CX22+CX21+CX20)</f>
        <v>0.24200859554603055</v>
      </c>
      <c r="DA20" s="120">
        <v>517347463</v>
      </c>
      <c r="DB20" s="145">
        <v>116747463</v>
      </c>
      <c r="DC20" s="593">
        <f>(DB20+DB21+DB22+DB23)/(DA20+DA21+DA22+DA23)</f>
        <v>0.26443876789489312</v>
      </c>
      <c r="DD20" s="120">
        <v>517347463</v>
      </c>
      <c r="DE20" s="156">
        <v>116747463</v>
      </c>
      <c r="DF20" s="593">
        <f>(DE20+DE21+DE22+DE23)/(DD20+DD21+DD22+DD23)</f>
        <v>0.27183257674949496</v>
      </c>
      <c r="DG20" s="120">
        <v>517347463</v>
      </c>
      <c r="DH20" s="216">
        <v>116747463</v>
      </c>
      <c r="DI20" s="593">
        <f>(DH20+DH21+DH22+DH23)/(DG20+DG21+DG22+DG23)</f>
        <v>0.27229448847598148</v>
      </c>
      <c r="DJ20" s="282">
        <v>500000000</v>
      </c>
      <c r="DK20" s="257">
        <v>116747463</v>
      </c>
      <c r="DL20" s="699">
        <f>(DK20+DK21+DK22+DK23)/(DJ20+DJ21+DJ22+DJ23)</f>
        <v>0.31300146117122585</v>
      </c>
      <c r="DM20" s="256">
        <v>400600000</v>
      </c>
      <c r="DN20" s="256">
        <f>+DJ20-DM20</f>
        <v>99400000</v>
      </c>
      <c r="DO20" s="280">
        <v>99400000</v>
      </c>
      <c r="DP20" s="283">
        <f>+DO20/DN20</f>
        <v>1</v>
      </c>
      <c r="DQ20" s="306">
        <v>116747463</v>
      </c>
      <c r="DR20" s="307">
        <v>116747463</v>
      </c>
      <c r="DS20" s="308">
        <f>DR20/DQ20</f>
        <v>1</v>
      </c>
      <c r="DT20" s="371">
        <v>116747463</v>
      </c>
      <c r="DU20" s="356">
        <v>116747463</v>
      </c>
      <c r="DV20" s="349">
        <f>DU20/DT20</f>
        <v>1</v>
      </c>
      <c r="DW20" s="421">
        <v>116747463</v>
      </c>
      <c r="DX20" s="422">
        <v>116747463</v>
      </c>
      <c r="DY20" s="389">
        <f>DX20/DW20</f>
        <v>1</v>
      </c>
      <c r="DZ20" s="56" t="s">
        <v>132</v>
      </c>
      <c r="EA20" s="161" t="s">
        <v>205</v>
      </c>
      <c r="EB20" s="161" t="s">
        <v>222</v>
      </c>
      <c r="EC20" s="172" t="s">
        <v>243</v>
      </c>
      <c r="ED20" s="172" t="s">
        <v>297</v>
      </c>
      <c r="EE20" s="172" t="s">
        <v>322</v>
      </c>
      <c r="EF20" s="214" t="s">
        <v>359</v>
      </c>
      <c r="EG20" s="266" t="s">
        <v>393</v>
      </c>
      <c r="EH20" s="290" t="s">
        <v>421</v>
      </c>
      <c r="EI20" s="300" t="s">
        <v>442</v>
      </c>
      <c r="EJ20" s="362" t="s">
        <v>501</v>
      </c>
      <c r="EK20" s="395" t="s">
        <v>529</v>
      </c>
    </row>
    <row r="21" spans="2:141" s="2" customFormat="1" ht="409.5" x14ac:dyDescent="0.35">
      <c r="B21" s="513" t="s">
        <v>36</v>
      </c>
      <c r="C21" s="513" t="s">
        <v>37</v>
      </c>
      <c r="D21" s="513" t="s">
        <v>16</v>
      </c>
      <c r="E21" s="512">
        <v>1049212</v>
      </c>
      <c r="F21" s="512">
        <f>+E21*8%</f>
        <v>83936.960000000006</v>
      </c>
      <c r="G21" s="516"/>
      <c r="H21" s="604"/>
      <c r="I21" s="514"/>
      <c r="J21" s="514"/>
      <c r="K21" s="628"/>
      <c r="L21" s="635"/>
      <c r="M21" s="638"/>
      <c r="N21" s="513"/>
      <c r="O21" s="513"/>
      <c r="P21" s="512"/>
      <c r="Q21" s="513"/>
      <c r="R21" s="626"/>
      <c r="S21" s="626"/>
      <c r="T21" s="72">
        <f>40+40</f>
        <v>80</v>
      </c>
      <c r="U21" s="63">
        <f>T21/S20</f>
        <v>3.7356992762082653E-3</v>
      </c>
      <c r="V21" s="604"/>
      <c r="W21" s="63">
        <f>T21/R20</f>
        <v>3.2019980467811911E-3</v>
      </c>
      <c r="X21" s="72">
        <f>80+318</f>
        <v>398</v>
      </c>
      <c r="Y21" s="648"/>
      <c r="Z21" s="604"/>
      <c r="AA21" s="63">
        <f>X21/R20</f>
        <v>1.5929940282736428E-2</v>
      </c>
      <c r="AB21" s="72">
        <f>X21+26</f>
        <v>424</v>
      </c>
      <c r="AC21" s="648"/>
      <c r="AD21" s="604"/>
      <c r="AE21" s="72">
        <f>AB21+63</f>
        <v>487</v>
      </c>
      <c r="AF21" s="604"/>
      <c r="AG21" s="604"/>
      <c r="AH21" s="63">
        <f>AE21/R20</f>
        <v>1.9492163109780501E-2</v>
      </c>
      <c r="AI21" s="72">
        <f>AE21+10</f>
        <v>497</v>
      </c>
      <c r="AJ21" s="645"/>
      <c r="AK21" s="604"/>
      <c r="AL21" s="63">
        <f>AI21/R20</f>
        <v>1.9892412865628151E-2</v>
      </c>
      <c r="AM21" s="72">
        <f>AI21+13</f>
        <v>510</v>
      </c>
      <c r="AN21" s="645"/>
      <c r="AO21" s="604"/>
      <c r="AP21" s="63">
        <f>AM21/R20</f>
        <v>2.0412737548230094E-2</v>
      </c>
      <c r="AQ21" s="269">
        <f>AM21+3</f>
        <v>513</v>
      </c>
      <c r="AR21" s="641"/>
      <c r="AS21" s="641"/>
      <c r="AT21" s="262">
        <f>AQ21/R20</f>
        <v>2.053281247498439E-2</v>
      </c>
      <c r="AU21" s="73">
        <f>AQ21+3+41</f>
        <v>557</v>
      </c>
      <c r="AV21" s="600"/>
      <c r="AW21" s="600"/>
      <c r="AX21" s="600"/>
      <c r="AY21" s="320">
        <f>AU21+91</f>
        <v>648</v>
      </c>
      <c r="AZ21" s="508"/>
      <c r="BA21" s="508"/>
      <c r="BB21" s="508"/>
      <c r="BC21" s="344">
        <v>648</v>
      </c>
      <c r="BD21" s="635"/>
      <c r="BE21" s="635"/>
      <c r="BF21" s="635"/>
      <c r="BG21" s="399">
        <f>BC21+26</f>
        <v>674</v>
      </c>
      <c r="BH21" s="638"/>
      <c r="BI21" s="638"/>
      <c r="BJ21" s="638"/>
      <c r="BK21" s="37" t="s">
        <v>31</v>
      </c>
      <c r="BL21" s="58">
        <v>2020130010141</v>
      </c>
      <c r="BM21" s="37" t="s">
        <v>100</v>
      </c>
      <c r="BN21" s="39" t="s">
        <v>106</v>
      </c>
      <c r="BO21" s="40">
        <v>396</v>
      </c>
      <c r="BP21" s="72">
        <v>80</v>
      </c>
      <c r="BQ21" s="63">
        <f>BP21/R20</f>
        <v>3.2019980467811911E-3</v>
      </c>
      <c r="BR21" s="72">
        <f>BP21+318</f>
        <v>398</v>
      </c>
      <c r="BS21" s="94">
        <f>BR21/R20</f>
        <v>1.5929940282736428E-2</v>
      </c>
      <c r="BT21" s="72">
        <f>BR21+26</f>
        <v>424</v>
      </c>
      <c r="BU21" s="63">
        <f>BT21/R20</f>
        <v>1.6970589647940314E-2</v>
      </c>
      <c r="BV21" s="72">
        <f>424+63</f>
        <v>487</v>
      </c>
      <c r="BW21" s="137">
        <f>BV21/R20</f>
        <v>1.9492163109780501E-2</v>
      </c>
      <c r="BX21" s="72">
        <f>424+63+10</f>
        <v>497</v>
      </c>
      <c r="BY21" s="133">
        <v>1</v>
      </c>
      <c r="BZ21" s="239">
        <f>BX21+13</f>
        <v>510</v>
      </c>
      <c r="CA21" s="142">
        <v>1</v>
      </c>
      <c r="CB21" s="272">
        <f>BZ21+3</f>
        <v>513</v>
      </c>
      <c r="CC21" s="268">
        <v>1</v>
      </c>
      <c r="CD21" s="272">
        <v>557</v>
      </c>
      <c r="CE21" s="268">
        <v>1</v>
      </c>
      <c r="CF21" s="316">
        <f>CD21+91</f>
        <v>648</v>
      </c>
      <c r="CG21" s="312">
        <v>1</v>
      </c>
      <c r="CH21" s="365">
        <v>648</v>
      </c>
      <c r="CI21" s="366">
        <v>1</v>
      </c>
      <c r="CJ21" s="398">
        <f>CH21+26</f>
        <v>674</v>
      </c>
      <c r="CK21" s="383">
        <v>1</v>
      </c>
      <c r="CL21" s="37" t="s">
        <v>160</v>
      </c>
      <c r="CM21" s="37" t="s">
        <v>158</v>
      </c>
      <c r="CN21" s="37" t="s">
        <v>94</v>
      </c>
      <c r="CO21" s="38" t="s">
        <v>95</v>
      </c>
      <c r="CP21" s="37" t="s">
        <v>153</v>
      </c>
      <c r="CQ21" s="87">
        <v>366818306</v>
      </c>
      <c r="CR21" s="87">
        <v>436818306</v>
      </c>
      <c r="CS21" s="92">
        <v>234300000</v>
      </c>
      <c r="CT21" s="101">
        <f>CS21/CR21</f>
        <v>0.53637861962680655</v>
      </c>
      <c r="CU21" s="92">
        <v>436818306</v>
      </c>
      <c r="CV21" s="92">
        <v>234300000</v>
      </c>
      <c r="CW21" s="594"/>
      <c r="CX21" s="92">
        <v>436818306</v>
      </c>
      <c r="CY21" s="92">
        <v>234300000</v>
      </c>
      <c r="CZ21" s="594"/>
      <c r="DA21" s="120">
        <v>483816798</v>
      </c>
      <c r="DB21" s="120">
        <v>236800000</v>
      </c>
      <c r="DC21" s="594"/>
      <c r="DD21" s="120">
        <v>483816797.69999999</v>
      </c>
      <c r="DE21" s="155">
        <v>241673050</v>
      </c>
      <c r="DF21" s="594"/>
      <c r="DG21" s="120">
        <v>483816797.69999999</v>
      </c>
      <c r="DH21" s="155">
        <v>242252588.96000001</v>
      </c>
      <c r="DI21" s="594"/>
      <c r="DJ21" s="282">
        <v>481316797.69999999</v>
      </c>
      <c r="DK21" s="258">
        <v>303536930.88</v>
      </c>
      <c r="DL21" s="700"/>
      <c r="DM21" s="256">
        <v>70000000</v>
      </c>
      <c r="DN21" s="256">
        <f>+DJ21-DM21</f>
        <v>411316797.69999999</v>
      </c>
      <c r="DO21" s="258">
        <v>301036930.88</v>
      </c>
      <c r="DP21" s="281">
        <f>+DO21/DN21</f>
        <v>0.73188581784973861</v>
      </c>
      <c r="DQ21" s="306">
        <v>413816797.69999999</v>
      </c>
      <c r="DR21" s="309">
        <v>303536930.88</v>
      </c>
      <c r="DS21" s="332">
        <f>+DR21/DQ21</f>
        <v>0.73350558161742796</v>
      </c>
      <c r="DT21" s="371">
        <v>413816797.69999999</v>
      </c>
      <c r="DU21" s="371">
        <v>303536930.88</v>
      </c>
      <c r="DV21" s="348">
        <f>+DU21/DT21</f>
        <v>0.73350558161742796</v>
      </c>
      <c r="DW21" s="423">
        <v>413816797.69999999</v>
      </c>
      <c r="DX21" s="423">
        <v>319287214.88</v>
      </c>
      <c r="DY21" s="388">
        <f>DX21/DW21</f>
        <v>0.7715665885353209</v>
      </c>
      <c r="DZ21" s="56" t="s">
        <v>133</v>
      </c>
      <c r="EA21" s="161" t="s">
        <v>203</v>
      </c>
      <c r="EB21" s="161" t="s">
        <v>223</v>
      </c>
      <c r="EC21" s="172" t="s">
        <v>258</v>
      </c>
      <c r="ED21" s="172" t="s">
        <v>279</v>
      </c>
      <c r="EE21" s="172" t="s">
        <v>321</v>
      </c>
      <c r="EF21" s="214" t="s">
        <v>358</v>
      </c>
      <c r="EG21" s="260" t="s">
        <v>392</v>
      </c>
      <c r="EH21" s="293" t="s">
        <v>422</v>
      </c>
      <c r="EI21" s="166" t="s">
        <v>453</v>
      </c>
      <c r="EJ21" s="359" t="s">
        <v>500</v>
      </c>
      <c r="EK21" s="404" t="s">
        <v>528</v>
      </c>
    </row>
    <row r="22" spans="2:141" s="2" customFormat="1" ht="220.5" customHeight="1" x14ac:dyDescent="0.35">
      <c r="B22" s="513"/>
      <c r="C22" s="513"/>
      <c r="D22" s="513"/>
      <c r="E22" s="512"/>
      <c r="F22" s="512"/>
      <c r="G22" s="516"/>
      <c r="H22" s="604"/>
      <c r="I22" s="514"/>
      <c r="J22" s="514"/>
      <c r="K22" s="628"/>
      <c r="L22" s="635"/>
      <c r="M22" s="638"/>
      <c r="N22" s="513"/>
      <c r="O22" s="513"/>
      <c r="P22" s="512"/>
      <c r="Q22" s="513"/>
      <c r="R22" s="626"/>
      <c r="S22" s="626"/>
      <c r="T22" s="72">
        <f>132+210+41</f>
        <v>383</v>
      </c>
      <c r="U22" s="63">
        <f>T22/S20</f>
        <v>1.788466028484707E-2</v>
      </c>
      <c r="V22" s="604"/>
      <c r="W22" s="63">
        <f>T22/R20</f>
        <v>1.5329565648964953E-2</v>
      </c>
      <c r="X22" s="98">
        <f>196+957+51+T22</f>
        <v>1587</v>
      </c>
      <c r="Y22" s="648"/>
      <c r="Z22" s="604"/>
      <c r="AA22" s="63">
        <f>X22/R20</f>
        <v>6.3519636253021886E-2</v>
      </c>
      <c r="AB22" s="98">
        <f>295+2995+78</f>
        <v>3368</v>
      </c>
      <c r="AC22" s="648"/>
      <c r="AD22" s="604"/>
      <c r="AE22" s="98">
        <f>AB22+204+667</f>
        <v>4239</v>
      </c>
      <c r="AF22" s="604"/>
      <c r="AG22" s="604"/>
      <c r="AH22" s="63">
        <f>AE22/R20</f>
        <v>0.16966587150381837</v>
      </c>
      <c r="AI22" s="98">
        <f>AE22+861</f>
        <v>5100</v>
      </c>
      <c r="AJ22" s="645"/>
      <c r="AK22" s="604"/>
      <c r="AL22" s="63">
        <f>AI22/R20</f>
        <v>0.20412737548230095</v>
      </c>
      <c r="AM22" s="98">
        <f>AI22+92+741+375</f>
        <v>6308</v>
      </c>
      <c r="AN22" s="645"/>
      <c r="AO22" s="604"/>
      <c r="AP22" s="63">
        <f>AM22/R20</f>
        <v>0.25247754598869693</v>
      </c>
      <c r="AQ22" s="261">
        <f>AM22+1570</f>
        <v>7878</v>
      </c>
      <c r="AR22" s="641"/>
      <c r="AS22" s="641"/>
      <c r="AT22" s="262">
        <f>AQ22/R20</f>
        <v>0.3153167576567778</v>
      </c>
      <c r="AU22" s="95">
        <f>AQ22+1570+1513</f>
        <v>10961</v>
      </c>
      <c r="AV22" s="600"/>
      <c r="AW22" s="600"/>
      <c r="AX22" s="600"/>
      <c r="AY22" s="318">
        <f>AU22+2199</f>
        <v>13160</v>
      </c>
      <c r="AZ22" s="508"/>
      <c r="BA22" s="508"/>
      <c r="BB22" s="508"/>
      <c r="BC22" s="342">
        <f>AY22+1543</f>
        <v>14703</v>
      </c>
      <c r="BD22" s="635"/>
      <c r="BE22" s="635"/>
      <c r="BF22" s="635"/>
      <c r="BG22" s="398">
        <f>BC22+1884</f>
        <v>16587</v>
      </c>
      <c r="BH22" s="638"/>
      <c r="BI22" s="638"/>
      <c r="BJ22" s="638"/>
      <c r="BK22" s="295" t="s">
        <v>101</v>
      </c>
      <c r="BL22" s="58">
        <v>2020130010279</v>
      </c>
      <c r="BM22" s="37" t="s">
        <v>109</v>
      </c>
      <c r="BN22" s="39" t="s">
        <v>140</v>
      </c>
      <c r="BO22" s="40">
        <v>5340</v>
      </c>
      <c r="BP22" s="72">
        <v>383</v>
      </c>
      <c r="BQ22" s="63">
        <f>BP22/R20</f>
        <v>1.5329565648964953E-2</v>
      </c>
      <c r="BR22" s="98">
        <f>196+957+51+BP22</f>
        <v>1587</v>
      </c>
      <c r="BS22" s="63">
        <f>BR22/R20</f>
        <v>6.3519636253021886E-2</v>
      </c>
      <c r="BT22" s="98">
        <f>295+2995+78</f>
        <v>3368</v>
      </c>
      <c r="BU22" s="63">
        <f>BT22/R20</f>
        <v>0.13480411776948814</v>
      </c>
      <c r="BV22" s="98">
        <f>3572+667</f>
        <v>4239</v>
      </c>
      <c r="BW22" s="141">
        <f>BV22/R20</f>
        <v>0.16966587150381837</v>
      </c>
      <c r="BX22" s="98">
        <f>BV22+861</f>
        <v>5100</v>
      </c>
      <c r="BY22" s="133">
        <f t="shared" si="16"/>
        <v>0.9550561797752809</v>
      </c>
      <c r="BZ22" s="98">
        <f>BX22+92+741+375</f>
        <v>6308</v>
      </c>
      <c r="CA22" s="142">
        <v>1</v>
      </c>
      <c r="CB22" s="261">
        <f>BZ22+1570</f>
        <v>7878</v>
      </c>
      <c r="CC22" s="268">
        <v>1</v>
      </c>
      <c r="CD22" s="261">
        <v>10961</v>
      </c>
      <c r="CE22" s="268">
        <v>1</v>
      </c>
      <c r="CF22" s="311">
        <f>CD22+2199</f>
        <v>13160</v>
      </c>
      <c r="CG22" s="312">
        <v>1</v>
      </c>
      <c r="CH22" s="365">
        <f>CF22+1543</f>
        <v>14703</v>
      </c>
      <c r="CI22" s="366">
        <v>1</v>
      </c>
      <c r="CJ22" s="398">
        <f>CH22+1884</f>
        <v>16587</v>
      </c>
      <c r="CK22" s="383">
        <v>1</v>
      </c>
      <c r="CL22" s="37" t="s">
        <v>160</v>
      </c>
      <c r="CM22" s="37" t="s">
        <v>158</v>
      </c>
      <c r="CN22" s="37" t="s">
        <v>94</v>
      </c>
      <c r="CO22" s="38" t="s">
        <v>95</v>
      </c>
      <c r="CP22" s="37" t="s">
        <v>147</v>
      </c>
      <c r="CQ22" s="87">
        <v>1004528273</v>
      </c>
      <c r="CR22" s="87">
        <v>1004528273</v>
      </c>
      <c r="CS22" s="88">
        <v>230300000</v>
      </c>
      <c r="CT22" s="101">
        <f>CS22/CR22</f>
        <v>0.22926183980089926</v>
      </c>
      <c r="CU22" s="88">
        <v>1004528273</v>
      </c>
      <c r="CV22" s="88">
        <v>230300000</v>
      </c>
      <c r="CW22" s="594"/>
      <c r="CX22" s="88">
        <v>1004528273</v>
      </c>
      <c r="CY22" s="88">
        <v>230300000</v>
      </c>
      <c r="CZ22" s="594"/>
      <c r="DA22" s="120">
        <v>1152739832</v>
      </c>
      <c r="DB22" s="120">
        <v>303363594</v>
      </c>
      <c r="DC22" s="594"/>
      <c r="DD22" s="120">
        <v>1152739831.7</v>
      </c>
      <c r="DE22" s="155">
        <v>311813593.68000001</v>
      </c>
      <c r="DF22" s="594"/>
      <c r="DG22" s="120">
        <v>1152739831.7</v>
      </c>
      <c r="DH22" s="155">
        <v>312393132.63999999</v>
      </c>
      <c r="DI22" s="594"/>
      <c r="DJ22" s="282">
        <v>1093379814.7</v>
      </c>
      <c r="DK22" s="258">
        <v>357988254.68000001</v>
      </c>
      <c r="DL22" s="700"/>
      <c r="DM22" s="256">
        <v>500000000</v>
      </c>
      <c r="DN22" s="256">
        <f>+DJ22-DM22</f>
        <v>593379814.70000005</v>
      </c>
      <c r="DO22" s="258">
        <v>353228237.68000001</v>
      </c>
      <c r="DP22" s="281">
        <f>+DO22/DN22</f>
        <v>0.59528185645914589</v>
      </c>
      <c r="DQ22" s="306">
        <v>652739831.70000005</v>
      </c>
      <c r="DR22" s="309">
        <v>412588254.68000001</v>
      </c>
      <c r="DS22" s="332">
        <f>DR22/DQ22</f>
        <v>0.632086835585707</v>
      </c>
      <c r="DT22" s="371">
        <v>652739831.70000005</v>
      </c>
      <c r="DU22" s="371">
        <v>412588254.68000001</v>
      </c>
      <c r="DV22" s="351">
        <f>DU22/DT22</f>
        <v>0.632086835585707</v>
      </c>
      <c r="DW22" s="423">
        <v>652739831.70000005</v>
      </c>
      <c r="DX22" s="424">
        <v>412588254.68000001</v>
      </c>
      <c r="DY22" s="388">
        <f>DX22/DW22</f>
        <v>0.632086835585707</v>
      </c>
      <c r="DZ22" s="56" t="s">
        <v>135</v>
      </c>
      <c r="EA22" s="161" t="s">
        <v>204</v>
      </c>
      <c r="EB22" s="161" t="s">
        <v>224</v>
      </c>
      <c r="EC22" s="172" t="s">
        <v>244</v>
      </c>
      <c r="ED22" s="172" t="s">
        <v>280</v>
      </c>
      <c r="EE22" s="173" t="s">
        <v>323</v>
      </c>
      <c r="EF22" s="232" t="s">
        <v>360</v>
      </c>
      <c r="EG22" s="260" t="s">
        <v>394</v>
      </c>
      <c r="EH22" s="293" t="s">
        <v>439</v>
      </c>
      <c r="EI22" s="166" t="s">
        <v>459</v>
      </c>
      <c r="EJ22" s="359" t="s">
        <v>502</v>
      </c>
      <c r="EK22" s="416" t="s">
        <v>531</v>
      </c>
    </row>
    <row r="23" spans="2:141" s="2" customFormat="1" ht="46.5" customHeight="1" x14ac:dyDescent="0.35">
      <c r="B23" s="513"/>
      <c r="C23" s="513"/>
      <c r="D23" s="513"/>
      <c r="E23" s="512"/>
      <c r="F23" s="512"/>
      <c r="G23" s="516"/>
      <c r="H23" s="604"/>
      <c r="I23" s="514"/>
      <c r="J23" s="514"/>
      <c r="K23" s="628"/>
      <c r="L23" s="635"/>
      <c r="M23" s="638"/>
      <c r="N23" s="513"/>
      <c r="O23" s="513"/>
      <c r="P23" s="512"/>
      <c r="Q23" s="513"/>
      <c r="R23" s="626"/>
      <c r="S23" s="626"/>
      <c r="T23" s="72">
        <f>615+37</f>
        <v>652</v>
      </c>
      <c r="U23" s="63">
        <f>T23/S20</f>
        <v>3.0445949101097363E-2</v>
      </c>
      <c r="V23" s="604"/>
      <c r="W23" s="63">
        <f>T23/R20</f>
        <v>2.6096284081266709E-2</v>
      </c>
      <c r="X23" s="98">
        <f>137+2342+T23</f>
        <v>3131</v>
      </c>
      <c r="Y23" s="649"/>
      <c r="Z23" s="604"/>
      <c r="AA23" s="63">
        <f>X23/R20</f>
        <v>0.12531819855589887</v>
      </c>
      <c r="AB23" s="98">
        <f>X23+710</f>
        <v>3841</v>
      </c>
      <c r="AC23" s="649"/>
      <c r="AD23" s="604"/>
      <c r="AE23" s="98">
        <f>AB23</f>
        <v>3841</v>
      </c>
      <c r="AF23" s="605"/>
      <c r="AG23" s="604"/>
      <c r="AH23" s="63">
        <f>AE23/R20</f>
        <v>0.15373593122108195</v>
      </c>
      <c r="AI23" s="98">
        <f>3841+354</f>
        <v>4195</v>
      </c>
      <c r="AJ23" s="646"/>
      <c r="AK23" s="604"/>
      <c r="AL23" s="63">
        <f>AI23/R20</f>
        <v>0.16790477257808872</v>
      </c>
      <c r="AM23" s="98">
        <f>3841+354+408</f>
        <v>4603</v>
      </c>
      <c r="AN23" s="646"/>
      <c r="AO23" s="604"/>
      <c r="AP23" s="63">
        <f>AM23/R20</f>
        <v>0.1842349626166728</v>
      </c>
      <c r="AQ23" s="261">
        <f>AM23+1745</f>
        <v>6348</v>
      </c>
      <c r="AR23" s="642"/>
      <c r="AS23" s="641"/>
      <c r="AT23" s="262">
        <f>AQ23/R20</f>
        <v>0.25407854501208754</v>
      </c>
      <c r="AU23" s="95">
        <f>AQ23+1745+666+1874+309</f>
        <v>10942</v>
      </c>
      <c r="AV23" s="601"/>
      <c r="AW23" s="600"/>
      <c r="AX23" s="601"/>
      <c r="AY23" s="318">
        <f>AU23+2109</f>
        <v>13051</v>
      </c>
      <c r="AZ23" s="509"/>
      <c r="BA23" s="508"/>
      <c r="BB23" s="509"/>
      <c r="BC23" s="342">
        <f>AY23+1314</f>
        <v>14365</v>
      </c>
      <c r="BD23" s="636"/>
      <c r="BE23" s="635"/>
      <c r="BF23" s="636"/>
      <c r="BG23" s="398">
        <f>BC23+1174</f>
        <v>15539</v>
      </c>
      <c r="BH23" s="639"/>
      <c r="BI23" s="638"/>
      <c r="BJ23" s="639"/>
      <c r="BK23" s="512" t="s">
        <v>97</v>
      </c>
      <c r="BL23" s="622">
        <v>2020130010219</v>
      </c>
      <c r="BM23" s="512" t="s">
        <v>98</v>
      </c>
      <c r="BN23" s="654" t="s">
        <v>107</v>
      </c>
      <c r="BO23" s="40">
        <v>13740</v>
      </c>
      <c r="BP23" s="72">
        <v>652</v>
      </c>
      <c r="BQ23" s="63">
        <f>BP23/R20</f>
        <v>2.6096284081266709E-2</v>
      </c>
      <c r="BR23" s="98">
        <f>2342+137+BP23</f>
        <v>3131</v>
      </c>
      <c r="BS23" s="63">
        <f>BR23/S20</f>
        <v>0.14620593042260099</v>
      </c>
      <c r="BT23" s="98">
        <f>BR23+710</f>
        <v>3841</v>
      </c>
      <c r="BU23" s="63">
        <f>BT23/R20</f>
        <v>0.15373593122108195</v>
      </c>
      <c r="BV23" s="98">
        <v>3841</v>
      </c>
      <c r="BW23" s="141">
        <f>BV23/R20</f>
        <v>0.15373593122108195</v>
      </c>
      <c r="BX23" s="98">
        <f>3841+354</f>
        <v>4195</v>
      </c>
      <c r="BY23" s="133">
        <f t="shared" si="16"/>
        <v>0.30531295487627363</v>
      </c>
      <c r="BZ23" s="98">
        <f>BX23+408</f>
        <v>4603</v>
      </c>
      <c r="CA23" s="142">
        <f t="shared" si="17"/>
        <v>0.33500727802037844</v>
      </c>
      <c r="CB23" s="261">
        <f>BZ23+1745</f>
        <v>6348</v>
      </c>
      <c r="CC23" s="268">
        <f t="shared" ref="CC23:CC32" si="18">CB23/BO23</f>
        <v>0.46200873362445416</v>
      </c>
      <c r="CD23" s="261">
        <v>10942</v>
      </c>
      <c r="CE23" s="268">
        <f t="shared" ref="CE23:CE32" si="19">+CD23/BO23</f>
        <v>0.79636098981077152</v>
      </c>
      <c r="CF23" s="311">
        <f>AU23+2109</f>
        <v>13051</v>
      </c>
      <c r="CG23" s="312">
        <f t="shared" ref="CG23:CG32" si="20">CF23/BO23</f>
        <v>0.94985443959243088</v>
      </c>
      <c r="CH23" s="365">
        <f>CF23+1314</f>
        <v>14365</v>
      </c>
      <c r="CI23" s="366">
        <f t="shared" ref="CI23:CI32" si="21">CH23/BO23</f>
        <v>1.0454876273653566</v>
      </c>
      <c r="CJ23" s="398">
        <f>CH23+1174</f>
        <v>15539</v>
      </c>
      <c r="CK23" s="383">
        <v>1</v>
      </c>
      <c r="CL23" s="37" t="s">
        <v>160</v>
      </c>
      <c r="CM23" s="37" t="s">
        <v>96</v>
      </c>
      <c r="CN23" s="512" t="s">
        <v>94</v>
      </c>
      <c r="CO23" s="512" t="s">
        <v>95</v>
      </c>
      <c r="CP23" s="512" t="s">
        <v>154</v>
      </c>
      <c r="CQ23" s="773">
        <v>1638264549</v>
      </c>
      <c r="CR23" s="543">
        <v>1568264549</v>
      </c>
      <c r="CS23" s="525">
        <v>285356060</v>
      </c>
      <c r="CT23" s="667">
        <f>CS23/CR23</f>
        <v>0.18195658390796157</v>
      </c>
      <c r="CU23" s="543">
        <v>1568264549</v>
      </c>
      <c r="CV23" s="525">
        <v>285356060</v>
      </c>
      <c r="CW23" s="594"/>
      <c r="CX23" s="543">
        <v>1568264549</v>
      </c>
      <c r="CY23" s="525">
        <v>285356060</v>
      </c>
      <c r="CZ23" s="594"/>
      <c r="DA23" s="479">
        <v>1610055730</v>
      </c>
      <c r="DB23" s="479">
        <v>338425841</v>
      </c>
      <c r="DC23" s="594"/>
      <c r="DD23" s="479">
        <v>1610055730.02</v>
      </c>
      <c r="DE23" s="495">
        <v>352932790.63</v>
      </c>
      <c r="DF23" s="594"/>
      <c r="DG23" s="479">
        <v>1610055730.02</v>
      </c>
      <c r="DH23" s="495">
        <v>353512329.88999999</v>
      </c>
      <c r="DI23" s="594"/>
      <c r="DJ23" s="726">
        <v>1599552815.02</v>
      </c>
      <c r="DK23" s="494">
        <v>371772790.93000001</v>
      </c>
      <c r="DL23" s="700"/>
      <c r="DM23" s="493">
        <v>930000000</v>
      </c>
      <c r="DN23" s="493">
        <f>+DJ23-DM23</f>
        <v>669552815.01999998</v>
      </c>
      <c r="DO23" s="494">
        <v>401427875.93000001</v>
      </c>
      <c r="DP23" s="483">
        <f>+DO23/DN23</f>
        <v>0.59954624478430296</v>
      </c>
      <c r="DQ23" s="490">
        <v>680055730.01999998</v>
      </c>
      <c r="DR23" s="733">
        <v>443954368.69</v>
      </c>
      <c r="DS23" s="713">
        <f>DR23/DQ23</f>
        <v>0.65282056909798203</v>
      </c>
      <c r="DT23" s="759">
        <v>680055730.01999998</v>
      </c>
      <c r="DU23" s="759">
        <v>467426326.75999999</v>
      </c>
      <c r="DV23" s="808">
        <f>DU23/DT23</f>
        <v>0.68733532580668544</v>
      </c>
      <c r="DW23" s="687">
        <v>680055730.01999998</v>
      </c>
      <c r="DX23" s="687">
        <v>460287674.75999999</v>
      </c>
      <c r="DY23" s="689">
        <f>DX23/DW23</f>
        <v>0.67683816846372757</v>
      </c>
      <c r="DZ23" s="677" t="s">
        <v>134</v>
      </c>
      <c r="EA23" s="558" t="s">
        <v>202</v>
      </c>
      <c r="EB23" s="558" t="s">
        <v>225</v>
      </c>
      <c r="EC23" s="572" t="s">
        <v>242</v>
      </c>
      <c r="ED23" s="572" t="s">
        <v>296</v>
      </c>
      <c r="EE23" s="572" t="s">
        <v>320</v>
      </c>
      <c r="EF23" s="572" t="s">
        <v>357</v>
      </c>
      <c r="EG23" s="560" t="s">
        <v>406</v>
      </c>
      <c r="EH23" s="572" t="s">
        <v>438</v>
      </c>
      <c r="EI23" s="547" t="s">
        <v>460</v>
      </c>
      <c r="EJ23" s="791" t="s">
        <v>503</v>
      </c>
      <c r="EK23" s="779" t="s">
        <v>527</v>
      </c>
    </row>
    <row r="24" spans="2:141" s="2" customFormat="1" ht="139.5" x14ac:dyDescent="0.35">
      <c r="B24" s="513"/>
      <c r="C24" s="513"/>
      <c r="D24" s="513"/>
      <c r="E24" s="512"/>
      <c r="F24" s="512"/>
      <c r="G24" s="516"/>
      <c r="H24" s="604"/>
      <c r="I24" s="514"/>
      <c r="J24" s="514"/>
      <c r="K24" s="628"/>
      <c r="L24" s="635"/>
      <c r="M24" s="638"/>
      <c r="N24" s="513"/>
      <c r="O24" s="36" t="s">
        <v>75</v>
      </c>
      <c r="P24" s="41">
        <v>16428</v>
      </c>
      <c r="Q24" s="36" t="s">
        <v>74</v>
      </c>
      <c r="R24" s="40">
        <v>22999.200000000001</v>
      </c>
      <c r="S24" s="40">
        <v>19714</v>
      </c>
      <c r="T24" s="72">
        <v>0</v>
      </c>
      <c r="U24" s="63">
        <f>T24/S24</f>
        <v>0</v>
      </c>
      <c r="V24" s="604"/>
      <c r="W24" s="63">
        <f>T24/R24</f>
        <v>0</v>
      </c>
      <c r="X24" s="72">
        <v>0</v>
      </c>
      <c r="Y24" s="63">
        <f>X24/S24</f>
        <v>0</v>
      </c>
      <c r="Z24" s="604"/>
      <c r="AA24" s="63">
        <f>X24/R24</f>
        <v>0</v>
      </c>
      <c r="AB24" s="72">
        <v>0</v>
      </c>
      <c r="AC24" s="63">
        <f>AB24/S24</f>
        <v>0</v>
      </c>
      <c r="AD24" s="604"/>
      <c r="AE24" s="72">
        <v>0</v>
      </c>
      <c r="AF24" s="63">
        <f>AE24/S24</f>
        <v>0</v>
      </c>
      <c r="AG24" s="604"/>
      <c r="AH24" s="63">
        <f>AE24/R24</f>
        <v>0</v>
      </c>
      <c r="AI24" s="72">
        <v>0</v>
      </c>
      <c r="AJ24" s="63">
        <f>AI24/S24</f>
        <v>0</v>
      </c>
      <c r="AK24" s="604"/>
      <c r="AL24" s="63">
        <f>AI24/R24</f>
        <v>0</v>
      </c>
      <c r="AM24" s="72">
        <v>0</v>
      </c>
      <c r="AN24" s="63">
        <f>AM24/S24</f>
        <v>0</v>
      </c>
      <c r="AO24" s="604"/>
      <c r="AP24" s="63">
        <f>AM24/R24</f>
        <v>0</v>
      </c>
      <c r="AQ24" s="269">
        <f>186+579</f>
        <v>765</v>
      </c>
      <c r="AR24" s="262">
        <f>AQ24/S24</f>
        <v>3.8804910216090088E-2</v>
      </c>
      <c r="AS24" s="641"/>
      <c r="AT24" s="262">
        <f>AQ24/R24</f>
        <v>3.326202650526975E-2</v>
      </c>
      <c r="AU24" s="73">
        <f>186+579+732</f>
        <v>1497</v>
      </c>
      <c r="AV24" s="64">
        <f>AU24/S24</f>
        <v>7.5935883128741E-2</v>
      </c>
      <c r="AW24" s="600"/>
      <c r="AX24" s="64">
        <f>AU24/R24</f>
        <v>6.5089220494625899E-2</v>
      </c>
      <c r="AY24" s="318">
        <f>186+579+732</f>
        <v>1497</v>
      </c>
      <c r="AZ24" s="323">
        <f>AY24/S24</f>
        <v>7.5935883128741E-2</v>
      </c>
      <c r="BA24" s="508"/>
      <c r="BB24" s="323">
        <f>AY24/R24</f>
        <v>6.5089220494625899E-2</v>
      </c>
      <c r="BC24" s="342">
        <f>1497+180</f>
        <v>1677</v>
      </c>
      <c r="BD24" s="343">
        <f>BC24/S24</f>
        <v>8.5066450238409252E-2</v>
      </c>
      <c r="BE24" s="635"/>
      <c r="BF24" s="343">
        <f>BC24/R24</f>
        <v>7.2915579672336431E-2</v>
      </c>
      <c r="BG24" s="398">
        <f>1677+450</f>
        <v>2127</v>
      </c>
      <c r="BH24" s="406">
        <f>BG24/S24</f>
        <v>0.1078928680125799</v>
      </c>
      <c r="BI24" s="638"/>
      <c r="BJ24" s="379">
        <f>BG24/R24</f>
        <v>9.2481477616612753E-2</v>
      </c>
      <c r="BK24" s="512"/>
      <c r="BL24" s="622"/>
      <c r="BM24" s="512"/>
      <c r="BN24" s="654"/>
      <c r="BO24" s="40">
        <v>19714</v>
      </c>
      <c r="BP24" s="72">
        <v>0</v>
      </c>
      <c r="BQ24" s="63">
        <f>BP24/R24</f>
        <v>0</v>
      </c>
      <c r="BR24" s="72">
        <v>0</v>
      </c>
      <c r="BS24" s="63">
        <f>BR24/R24</f>
        <v>0</v>
      </c>
      <c r="BT24" s="72">
        <v>0</v>
      </c>
      <c r="BU24" s="63">
        <f>BT24/R24</f>
        <v>0</v>
      </c>
      <c r="BV24" s="72">
        <v>0</v>
      </c>
      <c r="BW24" s="142">
        <f>BV24/R24</f>
        <v>0</v>
      </c>
      <c r="BX24" s="72">
        <v>0</v>
      </c>
      <c r="BY24" s="133">
        <f t="shared" si="16"/>
        <v>0</v>
      </c>
      <c r="BZ24" s="239">
        <v>0</v>
      </c>
      <c r="CA24" s="142">
        <f t="shared" si="17"/>
        <v>0</v>
      </c>
      <c r="CB24" s="272">
        <f>186+579</f>
        <v>765</v>
      </c>
      <c r="CC24" s="268">
        <f t="shared" si="18"/>
        <v>3.8804910216090088E-2</v>
      </c>
      <c r="CD24" s="272">
        <v>1497</v>
      </c>
      <c r="CE24" s="268">
        <f t="shared" si="19"/>
        <v>7.5935883128741E-2</v>
      </c>
      <c r="CF24" s="311">
        <v>1497</v>
      </c>
      <c r="CG24" s="312">
        <f t="shared" si="20"/>
        <v>7.5935883128741E-2</v>
      </c>
      <c r="CH24" s="365">
        <f>CF24+180</f>
        <v>1677</v>
      </c>
      <c r="CI24" s="366">
        <f t="shared" si="21"/>
        <v>8.5066450238409252E-2</v>
      </c>
      <c r="CJ24" s="398">
        <f>CH24+450</f>
        <v>2127</v>
      </c>
      <c r="CK24" s="383">
        <f>CJ24/BO24</f>
        <v>0.1078928680125799</v>
      </c>
      <c r="CL24" s="37" t="s">
        <v>160</v>
      </c>
      <c r="CM24" s="37" t="s">
        <v>96</v>
      </c>
      <c r="CN24" s="512"/>
      <c r="CO24" s="512"/>
      <c r="CP24" s="512"/>
      <c r="CQ24" s="773"/>
      <c r="CR24" s="544"/>
      <c r="CS24" s="526"/>
      <c r="CT24" s="668"/>
      <c r="CU24" s="544"/>
      <c r="CV24" s="526"/>
      <c r="CW24" s="594"/>
      <c r="CX24" s="544"/>
      <c r="CY24" s="526"/>
      <c r="CZ24" s="594"/>
      <c r="DA24" s="480"/>
      <c r="DB24" s="480"/>
      <c r="DC24" s="594"/>
      <c r="DD24" s="480"/>
      <c r="DE24" s="496"/>
      <c r="DF24" s="594"/>
      <c r="DG24" s="480"/>
      <c r="DH24" s="496"/>
      <c r="DI24" s="594"/>
      <c r="DJ24" s="484"/>
      <c r="DK24" s="486"/>
      <c r="DL24" s="700"/>
      <c r="DM24" s="484"/>
      <c r="DN24" s="484"/>
      <c r="DO24" s="486"/>
      <c r="DP24" s="486"/>
      <c r="DQ24" s="491"/>
      <c r="DR24" s="734"/>
      <c r="DS24" s="714"/>
      <c r="DT24" s="760"/>
      <c r="DU24" s="760"/>
      <c r="DV24" s="809"/>
      <c r="DW24" s="811"/>
      <c r="DX24" s="811"/>
      <c r="DY24" s="736"/>
      <c r="DZ24" s="677"/>
      <c r="EA24" s="558"/>
      <c r="EB24" s="558"/>
      <c r="EC24" s="572"/>
      <c r="ED24" s="572"/>
      <c r="EE24" s="572"/>
      <c r="EF24" s="572"/>
      <c r="EG24" s="560"/>
      <c r="EH24" s="572"/>
      <c r="EI24" s="547"/>
      <c r="EJ24" s="792"/>
      <c r="EK24" s="780"/>
    </row>
    <row r="25" spans="2:141" s="2" customFormat="1" ht="144.75" customHeight="1" x14ac:dyDescent="0.35">
      <c r="B25" s="513"/>
      <c r="C25" s="513"/>
      <c r="D25" s="513"/>
      <c r="E25" s="512"/>
      <c r="F25" s="512"/>
      <c r="G25" s="517"/>
      <c r="H25" s="605"/>
      <c r="I25" s="457"/>
      <c r="J25" s="457"/>
      <c r="K25" s="629"/>
      <c r="L25" s="636"/>
      <c r="M25" s="639"/>
      <c r="N25" s="513"/>
      <c r="O25" s="36" t="s">
        <v>77</v>
      </c>
      <c r="P25" s="42">
        <v>16</v>
      </c>
      <c r="Q25" s="36" t="s">
        <v>76</v>
      </c>
      <c r="R25" s="40">
        <v>17</v>
      </c>
      <c r="S25" s="40">
        <v>5</v>
      </c>
      <c r="T25" s="72">
        <v>0</v>
      </c>
      <c r="U25" s="63">
        <f>T25/S25</f>
        <v>0</v>
      </c>
      <c r="V25" s="605"/>
      <c r="W25" s="63">
        <f>T25/R25</f>
        <v>0</v>
      </c>
      <c r="X25" s="72">
        <v>0</v>
      </c>
      <c r="Y25" s="63">
        <f>X25/S25</f>
        <v>0</v>
      </c>
      <c r="Z25" s="605"/>
      <c r="AA25" s="63">
        <f>X25/R25</f>
        <v>0</v>
      </c>
      <c r="AB25" s="72">
        <v>0</v>
      </c>
      <c r="AC25" s="63">
        <f>AB25/S25</f>
        <v>0</v>
      </c>
      <c r="AD25" s="605"/>
      <c r="AE25" s="72">
        <v>0</v>
      </c>
      <c r="AF25" s="63">
        <f>AE25/S25</f>
        <v>0</v>
      </c>
      <c r="AG25" s="605"/>
      <c r="AH25" s="63">
        <f>AE25/R25</f>
        <v>0</v>
      </c>
      <c r="AI25" s="72">
        <v>0</v>
      </c>
      <c r="AJ25" s="63">
        <f>AI25/S25</f>
        <v>0</v>
      </c>
      <c r="AK25" s="605"/>
      <c r="AL25" s="63">
        <f>AI25/R25</f>
        <v>0</v>
      </c>
      <c r="AM25" s="72">
        <v>0</v>
      </c>
      <c r="AN25" s="63">
        <f>AM25/S25</f>
        <v>0</v>
      </c>
      <c r="AO25" s="605"/>
      <c r="AP25" s="63">
        <f>AM25/R25</f>
        <v>0</v>
      </c>
      <c r="AQ25" s="269">
        <f>1+2</f>
        <v>3</v>
      </c>
      <c r="AR25" s="262">
        <f>AQ25/S25</f>
        <v>0.6</v>
      </c>
      <c r="AS25" s="642"/>
      <c r="AT25" s="262">
        <f>AQ25/R25</f>
        <v>0.17647058823529413</v>
      </c>
      <c r="AU25" s="73">
        <f>1+2+1</f>
        <v>4</v>
      </c>
      <c r="AV25" s="64">
        <f>AU25/S25</f>
        <v>0.8</v>
      </c>
      <c r="AW25" s="601"/>
      <c r="AX25" s="64">
        <f>AU25/R25</f>
        <v>0.23529411764705882</v>
      </c>
      <c r="AY25" s="320">
        <f>1+2+1</f>
        <v>4</v>
      </c>
      <c r="AZ25" s="323">
        <f>AY25/S25</f>
        <v>0.8</v>
      </c>
      <c r="BA25" s="509"/>
      <c r="BB25" s="323">
        <f>AY25/R25</f>
        <v>0.23529411764705882</v>
      </c>
      <c r="BC25" s="344">
        <f>1+2+1+2</f>
        <v>6</v>
      </c>
      <c r="BD25" s="343">
        <v>1</v>
      </c>
      <c r="BE25" s="636"/>
      <c r="BF25" s="343">
        <f>BC25/R25</f>
        <v>0.35294117647058826</v>
      </c>
      <c r="BG25" s="400">
        <f>BC25+1</f>
        <v>7</v>
      </c>
      <c r="BH25" s="407">
        <v>1</v>
      </c>
      <c r="BI25" s="639"/>
      <c r="BJ25" s="379">
        <f>BG25/R25</f>
        <v>0.41176470588235292</v>
      </c>
      <c r="BK25" s="512"/>
      <c r="BL25" s="622"/>
      <c r="BM25" s="512"/>
      <c r="BN25" s="654"/>
      <c r="BO25" s="40">
        <v>5</v>
      </c>
      <c r="BP25" s="72">
        <v>0</v>
      </c>
      <c r="BQ25" s="63">
        <f>BP25/R25</f>
        <v>0</v>
      </c>
      <c r="BR25" s="72">
        <v>0</v>
      </c>
      <c r="BS25" s="63">
        <f>BR25/R25</f>
        <v>0</v>
      </c>
      <c r="BT25" s="72">
        <v>0</v>
      </c>
      <c r="BU25" s="63">
        <f>BT25/R25</f>
        <v>0</v>
      </c>
      <c r="BV25" s="72">
        <v>0</v>
      </c>
      <c r="BW25" s="142">
        <f>BV25/R25</f>
        <v>0</v>
      </c>
      <c r="BX25" s="72">
        <v>0</v>
      </c>
      <c r="BY25" s="133">
        <f t="shared" si="16"/>
        <v>0</v>
      </c>
      <c r="BZ25" s="239">
        <v>0</v>
      </c>
      <c r="CA25" s="142">
        <f t="shared" si="17"/>
        <v>0</v>
      </c>
      <c r="CB25" s="272">
        <f>1+2</f>
        <v>3</v>
      </c>
      <c r="CC25" s="268">
        <f t="shared" si="18"/>
        <v>0.6</v>
      </c>
      <c r="CD25" s="272">
        <v>4</v>
      </c>
      <c r="CE25" s="268">
        <f t="shared" si="19"/>
        <v>0.8</v>
      </c>
      <c r="CF25" s="316">
        <v>4</v>
      </c>
      <c r="CG25" s="312">
        <f t="shared" si="20"/>
        <v>0.8</v>
      </c>
      <c r="CH25" s="365">
        <f>CF25+2</f>
        <v>6</v>
      </c>
      <c r="CI25" s="366">
        <v>1</v>
      </c>
      <c r="CJ25" s="398">
        <f>CH25+1</f>
        <v>7</v>
      </c>
      <c r="CK25" s="383">
        <v>1</v>
      </c>
      <c r="CL25" s="37" t="s">
        <v>160</v>
      </c>
      <c r="CM25" s="37" t="s">
        <v>96</v>
      </c>
      <c r="CN25" s="512"/>
      <c r="CO25" s="512"/>
      <c r="CP25" s="512"/>
      <c r="CQ25" s="773"/>
      <c r="CR25" s="545"/>
      <c r="CS25" s="527"/>
      <c r="CT25" s="669"/>
      <c r="CU25" s="545"/>
      <c r="CV25" s="527"/>
      <c r="CW25" s="595"/>
      <c r="CX25" s="545"/>
      <c r="CY25" s="527"/>
      <c r="CZ25" s="595"/>
      <c r="DA25" s="481"/>
      <c r="DB25" s="481"/>
      <c r="DC25" s="595"/>
      <c r="DD25" s="481"/>
      <c r="DE25" s="497"/>
      <c r="DF25" s="595"/>
      <c r="DG25" s="481"/>
      <c r="DH25" s="497"/>
      <c r="DI25" s="595"/>
      <c r="DJ25" s="485"/>
      <c r="DK25" s="487"/>
      <c r="DL25" s="701"/>
      <c r="DM25" s="485"/>
      <c r="DN25" s="485"/>
      <c r="DO25" s="487"/>
      <c r="DP25" s="487"/>
      <c r="DQ25" s="492"/>
      <c r="DR25" s="735"/>
      <c r="DS25" s="715"/>
      <c r="DT25" s="761"/>
      <c r="DU25" s="761"/>
      <c r="DV25" s="810"/>
      <c r="DW25" s="688"/>
      <c r="DX25" s="688"/>
      <c r="DY25" s="690"/>
      <c r="DZ25" s="677"/>
      <c r="EA25" s="558"/>
      <c r="EB25" s="558"/>
      <c r="EC25" s="572"/>
      <c r="ED25" s="572"/>
      <c r="EE25" s="572"/>
      <c r="EF25" s="572"/>
      <c r="EG25" s="560"/>
      <c r="EH25" s="572"/>
      <c r="EI25" s="547"/>
      <c r="EJ25" s="786"/>
      <c r="EK25" s="774"/>
    </row>
    <row r="26" spans="2:141" s="2" customFormat="1" ht="182.25" customHeight="1" x14ac:dyDescent="0.35">
      <c r="B26" s="630" t="s">
        <v>36</v>
      </c>
      <c r="C26" s="630" t="s">
        <v>37</v>
      </c>
      <c r="D26" s="630" t="s">
        <v>39</v>
      </c>
      <c r="E26" s="632">
        <v>1049212</v>
      </c>
      <c r="F26" s="632">
        <f>+E26*13%</f>
        <v>136397.56</v>
      </c>
      <c r="G26" s="515">
        <v>7.5895785819042508E-2</v>
      </c>
      <c r="H26" s="603">
        <v>7.7992597521539239E-2</v>
      </c>
      <c r="I26" s="456">
        <v>0.1164903536397572</v>
      </c>
      <c r="J26" s="456">
        <f>+J6</f>
        <v>0.15301593371611633</v>
      </c>
      <c r="K26" s="627">
        <v>0.17231246658664567</v>
      </c>
      <c r="L26" s="634">
        <v>0.17539170055534717</v>
      </c>
      <c r="M26" s="637">
        <v>0.47433399835011714</v>
      </c>
      <c r="N26" s="630" t="s">
        <v>55</v>
      </c>
      <c r="O26" s="26" t="s">
        <v>57</v>
      </c>
      <c r="P26" s="43">
        <v>0</v>
      </c>
      <c r="Q26" s="26" t="s">
        <v>56</v>
      </c>
      <c r="R26" s="23">
        <v>4</v>
      </c>
      <c r="S26" s="23">
        <v>1</v>
      </c>
      <c r="T26" s="73">
        <v>0</v>
      </c>
      <c r="U26" s="64">
        <f>T26/S26</f>
        <v>0</v>
      </c>
      <c r="V26" s="599">
        <f>+AVERAGE(U26:U32)</f>
        <v>0.17838101097098327</v>
      </c>
      <c r="W26" s="64">
        <f>T26/R26</f>
        <v>0</v>
      </c>
      <c r="X26" s="73">
        <v>0</v>
      </c>
      <c r="Y26" s="64">
        <f>X26/S26</f>
        <v>0</v>
      </c>
      <c r="Z26" s="599">
        <f>+AVERAGE(Y26:Y32)</f>
        <v>0.20938429201271402</v>
      </c>
      <c r="AA26" s="64">
        <f>X26/R26</f>
        <v>0</v>
      </c>
      <c r="AB26" s="73">
        <v>0</v>
      </c>
      <c r="AC26" s="64">
        <f>AB26/S26</f>
        <v>0</v>
      </c>
      <c r="AD26" s="599">
        <f>+AVERAGE(AC26:AC32)</f>
        <v>0.21354967702245464</v>
      </c>
      <c r="AE26" s="116">
        <v>0.25</v>
      </c>
      <c r="AF26" s="64">
        <f>AE26/S26</f>
        <v>0.25</v>
      </c>
      <c r="AG26" s="599">
        <f>+AVERAGE(AF26:AF32)</f>
        <v>0.40173109128815065</v>
      </c>
      <c r="AH26" s="64">
        <f>AE26/R26</f>
        <v>6.25E-2</v>
      </c>
      <c r="AI26" s="116">
        <v>0.25</v>
      </c>
      <c r="AJ26" s="64">
        <f>AI26/S26</f>
        <v>0.25</v>
      </c>
      <c r="AK26" s="599">
        <f>+AVERAGE(AJ26:AJ32)</f>
        <v>0.41565244881916669</v>
      </c>
      <c r="AL26" s="64">
        <f>AI26/R26</f>
        <v>6.25E-2</v>
      </c>
      <c r="AM26" s="116">
        <f>AI26+0.05</f>
        <v>0.3</v>
      </c>
      <c r="AN26" s="64">
        <f>AM26/S26</f>
        <v>0.3</v>
      </c>
      <c r="AO26" s="599">
        <f>+AVERAGE(AN26:AN32)</f>
        <v>0.43607437027923029</v>
      </c>
      <c r="AP26" s="64">
        <f>AM26/R26</f>
        <v>7.4999999999999997E-2</v>
      </c>
      <c r="AQ26" s="277">
        <f>AM26+0.15</f>
        <v>0.44999999999999996</v>
      </c>
      <c r="AR26" s="262">
        <f>AQ26/S26</f>
        <v>0.44999999999999996</v>
      </c>
      <c r="AS26" s="640">
        <f>+AVERAGE(AR26:AR32)</f>
        <v>0.55722581086161516</v>
      </c>
      <c r="AT26" s="262">
        <f>AQ26/R26</f>
        <v>0.11249999999999999</v>
      </c>
      <c r="AU26" s="116">
        <v>0.8</v>
      </c>
      <c r="AV26" s="64">
        <f>AU26/S26</f>
        <v>0.8</v>
      </c>
      <c r="AW26" s="599">
        <f>+AVERAGE(AV26:AV32)</f>
        <v>0.58290936122218806</v>
      </c>
      <c r="AX26" s="64">
        <f>AU26/R26</f>
        <v>0.2</v>
      </c>
      <c r="AY26" s="327">
        <v>0.8</v>
      </c>
      <c r="AZ26" s="323">
        <f>AY26/S26</f>
        <v>0.8</v>
      </c>
      <c r="BA26" s="507">
        <f>+AVERAGE(AZ26:AZ32)</f>
        <v>0.63862059537236404</v>
      </c>
      <c r="BB26" s="323">
        <f>AY26/R26</f>
        <v>0.2</v>
      </c>
      <c r="BC26" s="347">
        <v>0.9</v>
      </c>
      <c r="BD26" s="343">
        <f>BC26/S26</f>
        <v>0.9</v>
      </c>
      <c r="BE26" s="634">
        <f>+AVERAGE(BD26:BD32)</f>
        <v>0.72733688779520822</v>
      </c>
      <c r="BF26" s="343">
        <f>BC26/R26</f>
        <v>0.22500000000000001</v>
      </c>
      <c r="BG26" s="400">
        <v>1</v>
      </c>
      <c r="BH26" s="379">
        <f>BG26/S26</f>
        <v>1</v>
      </c>
      <c r="BI26" s="637">
        <f>+AVERAGE(BH26:BH32)</f>
        <v>0.77195221982979589</v>
      </c>
      <c r="BJ26" s="379">
        <f>BG26/R26</f>
        <v>0.25</v>
      </c>
      <c r="BK26" s="608" t="s">
        <v>89</v>
      </c>
      <c r="BL26" s="653">
        <v>2020130010068</v>
      </c>
      <c r="BM26" s="608" t="s">
        <v>27</v>
      </c>
      <c r="BN26" s="655" t="s">
        <v>108</v>
      </c>
      <c r="BO26" s="23">
        <v>1</v>
      </c>
      <c r="BP26" s="73">
        <v>0</v>
      </c>
      <c r="BQ26" s="64">
        <f>BP26/R26</f>
        <v>0</v>
      </c>
      <c r="BR26" s="73">
        <v>0</v>
      </c>
      <c r="BS26" s="64">
        <f>BR26/R26</f>
        <v>0</v>
      </c>
      <c r="BT26" s="73">
        <v>0</v>
      </c>
      <c r="BU26" s="64">
        <f>BT26/R26</f>
        <v>0</v>
      </c>
      <c r="BV26" s="116">
        <v>0.25</v>
      </c>
      <c r="BW26" s="143">
        <f>BV26/R26</f>
        <v>6.25E-2</v>
      </c>
      <c r="BX26" s="116">
        <v>0.25</v>
      </c>
      <c r="BY26" s="133">
        <f t="shared" si="16"/>
        <v>0.25</v>
      </c>
      <c r="BZ26" s="242">
        <f>BX26+0.05</f>
        <v>0.3</v>
      </c>
      <c r="CA26" s="143">
        <f>BZ26/BO26</f>
        <v>0.3</v>
      </c>
      <c r="CB26" s="273">
        <f>BZ26+0.15</f>
        <v>0.44999999999999996</v>
      </c>
      <c r="CC26" s="268">
        <f t="shared" si="18"/>
        <v>0.44999999999999996</v>
      </c>
      <c r="CD26" s="273">
        <v>0.8</v>
      </c>
      <c r="CE26" s="268">
        <f t="shared" si="19"/>
        <v>0.8</v>
      </c>
      <c r="CF26" s="317">
        <v>0.8</v>
      </c>
      <c r="CG26" s="312">
        <f t="shared" si="20"/>
        <v>0.8</v>
      </c>
      <c r="CH26" s="369">
        <v>0.9</v>
      </c>
      <c r="CI26" s="366">
        <f t="shared" si="21"/>
        <v>0.9</v>
      </c>
      <c r="CJ26" s="403">
        <v>1</v>
      </c>
      <c r="CK26" s="383">
        <f t="shared" ref="CK26:CK32" si="22">CJ26/BO26</f>
        <v>1</v>
      </c>
      <c r="CL26" s="25" t="s">
        <v>160</v>
      </c>
      <c r="CM26" s="25" t="s">
        <v>96</v>
      </c>
      <c r="CN26" s="608" t="s">
        <v>92</v>
      </c>
      <c r="CO26" s="608" t="s">
        <v>93</v>
      </c>
      <c r="CP26" s="608" t="s">
        <v>146</v>
      </c>
      <c r="CQ26" s="518">
        <v>309648241</v>
      </c>
      <c r="CR26" s="499">
        <v>376878241</v>
      </c>
      <c r="CS26" s="528">
        <v>209900000</v>
      </c>
      <c r="CT26" s="502">
        <f>CS26/CR26</f>
        <v>0.55694380084946316</v>
      </c>
      <c r="CU26" s="499">
        <v>376878241</v>
      </c>
      <c r="CV26" s="528">
        <v>209900000</v>
      </c>
      <c r="CW26" s="502">
        <f>(CV26+CV29+CV31+CV32)/(CU26+CU29+CU31+CU32)</f>
        <v>0.39744628516141489</v>
      </c>
      <c r="CX26" s="499">
        <v>376878241</v>
      </c>
      <c r="CY26" s="528">
        <v>209900000</v>
      </c>
      <c r="CZ26" s="502">
        <f>(CY26+CY29+CY31+CY32)/(CX32+CX31+CX29+CX26)</f>
        <v>0.39744628516141489</v>
      </c>
      <c r="DA26" s="536">
        <v>376878241</v>
      </c>
      <c r="DB26" s="498">
        <v>209900000</v>
      </c>
      <c r="DC26" s="470">
        <f>(DB26+DB29+DB31)/(DA26+DA29+DA31)</f>
        <v>0.31862040807846975</v>
      </c>
      <c r="DD26" s="536">
        <v>376878241</v>
      </c>
      <c r="DE26" s="498">
        <v>209900000</v>
      </c>
      <c r="DF26" s="470">
        <f>(DE26+DE29+DE31)/(DD26+DD29+DD31)</f>
        <v>0.31862040789669593</v>
      </c>
      <c r="DG26" s="536">
        <v>376878241</v>
      </c>
      <c r="DH26" s="498">
        <v>209900000</v>
      </c>
      <c r="DI26" s="470">
        <f>(DH26+DH29+DH31)/(DG26+DG29+DG31)</f>
        <v>0.31862040789669593</v>
      </c>
      <c r="DJ26" s="589">
        <v>376878241</v>
      </c>
      <c r="DK26" s="489">
        <v>209900000</v>
      </c>
      <c r="DL26" s="763">
        <f>(DK26+DK29+DK31)/(DJ26+DJ29+DJ31)</f>
        <v>0.31862040789669593</v>
      </c>
      <c r="DM26" s="589">
        <v>67230000</v>
      </c>
      <c r="DN26" s="589">
        <f>+DJ26-DM26</f>
        <v>309648241</v>
      </c>
      <c r="DO26" s="489">
        <v>209900000</v>
      </c>
      <c r="DP26" s="488">
        <f>+DO26/DN26</f>
        <v>0.67786595306381858</v>
      </c>
      <c r="DQ26" s="709">
        <v>309648241</v>
      </c>
      <c r="DR26" s="710">
        <v>209900000</v>
      </c>
      <c r="DS26" s="711">
        <f>+DR26/DQ26</f>
        <v>0.67786595306381858</v>
      </c>
      <c r="DT26" s="816">
        <v>309648241</v>
      </c>
      <c r="DU26" s="803">
        <v>209900000</v>
      </c>
      <c r="DV26" s="804">
        <f>+DU26/DT26</f>
        <v>0.67786595306381858</v>
      </c>
      <c r="DW26" s="720">
        <v>309648241</v>
      </c>
      <c r="DX26" s="723">
        <v>234183610</v>
      </c>
      <c r="DY26" s="689">
        <f>DX26/DW26</f>
        <v>0.75628916619616771</v>
      </c>
      <c r="DZ26" s="611" t="s">
        <v>136</v>
      </c>
      <c r="EA26" s="579" t="s">
        <v>187</v>
      </c>
      <c r="EB26" s="579" t="s">
        <v>209</v>
      </c>
      <c r="EC26" s="716" t="s">
        <v>239</v>
      </c>
      <c r="ED26" s="716" t="s">
        <v>290</v>
      </c>
      <c r="EE26" s="716" t="s">
        <v>316</v>
      </c>
      <c r="EF26" s="716" t="s">
        <v>351</v>
      </c>
      <c r="EG26" s="564" t="s">
        <v>398</v>
      </c>
      <c r="EH26" s="573" t="s">
        <v>423</v>
      </c>
      <c r="EI26" s="551" t="s">
        <v>475</v>
      </c>
      <c r="EJ26" s="793" t="s">
        <v>508</v>
      </c>
      <c r="EK26" s="781" t="s">
        <v>534</v>
      </c>
    </row>
    <row r="27" spans="2:141" s="2" customFormat="1" ht="185.25" customHeight="1" x14ac:dyDescent="0.35">
      <c r="B27" s="631"/>
      <c r="C27" s="631"/>
      <c r="D27" s="631"/>
      <c r="E27" s="633"/>
      <c r="F27" s="633"/>
      <c r="G27" s="516"/>
      <c r="H27" s="604"/>
      <c r="I27" s="514"/>
      <c r="J27" s="514"/>
      <c r="K27" s="628"/>
      <c r="L27" s="635"/>
      <c r="M27" s="638"/>
      <c r="N27" s="631"/>
      <c r="O27" s="26" t="s">
        <v>26</v>
      </c>
      <c r="P27" s="43">
        <v>0</v>
      </c>
      <c r="Q27" s="26" t="s">
        <v>62</v>
      </c>
      <c r="R27" s="23">
        <v>1</v>
      </c>
      <c r="S27" s="23">
        <v>1</v>
      </c>
      <c r="T27" s="73">
        <v>0</v>
      </c>
      <c r="U27" s="64">
        <f>T27/S27</f>
        <v>0</v>
      </c>
      <c r="V27" s="600"/>
      <c r="W27" s="64">
        <f>T27/R27</f>
        <v>0</v>
      </c>
      <c r="X27" s="73">
        <v>0</v>
      </c>
      <c r="Y27" s="64">
        <f>X27/S27</f>
        <v>0</v>
      </c>
      <c r="Z27" s="600"/>
      <c r="AA27" s="64">
        <f>X27/R27</f>
        <v>0</v>
      </c>
      <c r="AB27" s="73">
        <v>0</v>
      </c>
      <c r="AC27" s="64">
        <f>AB27/S27</f>
        <v>0</v>
      </c>
      <c r="AD27" s="600"/>
      <c r="AE27" s="116">
        <v>0.5</v>
      </c>
      <c r="AF27" s="64">
        <f>0.5/1</f>
        <v>0.5</v>
      </c>
      <c r="AG27" s="600"/>
      <c r="AH27" s="64">
        <f>AE27/R27</f>
        <v>0.5</v>
      </c>
      <c r="AI27" s="116">
        <f>0.5+0.05</f>
        <v>0.55000000000000004</v>
      </c>
      <c r="AJ27" s="64">
        <f>AI27/S27</f>
        <v>0.55000000000000004</v>
      </c>
      <c r="AK27" s="600"/>
      <c r="AL27" s="64">
        <f>AI27/R27</f>
        <v>0.55000000000000004</v>
      </c>
      <c r="AM27" s="116">
        <f>0.5+0.05+0.05</f>
        <v>0.60000000000000009</v>
      </c>
      <c r="AN27" s="64">
        <f>AM27/S27</f>
        <v>0.60000000000000009</v>
      </c>
      <c r="AO27" s="600"/>
      <c r="AP27" s="64">
        <f>AM27/R27</f>
        <v>0.60000000000000009</v>
      </c>
      <c r="AQ27" s="277">
        <f>0.5+0.05+0.05+0.1</f>
        <v>0.70000000000000007</v>
      </c>
      <c r="AR27" s="262">
        <f>AQ27/S27</f>
        <v>0.70000000000000007</v>
      </c>
      <c r="AS27" s="641"/>
      <c r="AT27" s="262">
        <f>AQ27/R27</f>
        <v>0.70000000000000007</v>
      </c>
      <c r="AU27" s="116">
        <v>0.8</v>
      </c>
      <c r="AV27" s="64">
        <f>AU27/S27</f>
        <v>0.8</v>
      </c>
      <c r="AW27" s="600"/>
      <c r="AX27" s="64">
        <f>AU27/R27</f>
        <v>0.8</v>
      </c>
      <c r="AY27" s="327">
        <v>0.8</v>
      </c>
      <c r="AZ27" s="323">
        <f>AY27/S27</f>
        <v>0.8</v>
      </c>
      <c r="BA27" s="508"/>
      <c r="BB27" s="323">
        <f>AY27/R27</f>
        <v>0.8</v>
      </c>
      <c r="BC27" s="344">
        <v>1</v>
      </c>
      <c r="BD27" s="343">
        <f>BC27/S27</f>
        <v>1</v>
      </c>
      <c r="BE27" s="635"/>
      <c r="BF27" s="343">
        <f>BC27/R27</f>
        <v>1</v>
      </c>
      <c r="BG27" s="400">
        <v>1</v>
      </c>
      <c r="BH27" s="379">
        <f>BG27/S27</f>
        <v>1</v>
      </c>
      <c r="BI27" s="638"/>
      <c r="BJ27" s="379">
        <f>BG27/R27</f>
        <v>1</v>
      </c>
      <c r="BK27" s="608"/>
      <c r="BL27" s="653"/>
      <c r="BM27" s="608"/>
      <c r="BN27" s="655"/>
      <c r="BO27" s="23">
        <v>1</v>
      </c>
      <c r="BP27" s="73">
        <v>0</v>
      </c>
      <c r="BQ27" s="64">
        <f>BP27/R27</f>
        <v>0</v>
      </c>
      <c r="BR27" s="73">
        <v>0</v>
      </c>
      <c r="BS27" s="64">
        <f>BR27/R27</f>
        <v>0</v>
      </c>
      <c r="BT27" s="73">
        <v>0</v>
      </c>
      <c r="BU27" s="64">
        <f>BT27/R27</f>
        <v>0</v>
      </c>
      <c r="BV27" s="116">
        <v>0.5</v>
      </c>
      <c r="BW27" s="143">
        <f>BV27/R27</f>
        <v>0.5</v>
      </c>
      <c r="BX27" s="116">
        <f>BV27+0.05</f>
        <v>0.55000000000000004</v>
      </c>
      <c r="BY27" s="133">
        <f t="shared" si="16"/>
        <v>0.55000000000000004</v>
      </c>
      <c r="BZ27" s="233">
        <f>BX27+0.05</f>
        <v>0.60000000000000009</v>
      </c>
      <c r="CA27" s="143">
        <f t="shared" si="17"/>
        <v>0.60000000000000009</v>
      </c>
      <c r="CB27" s="271">
        <f>BZ27+0.1</f>
        <v>0.70000000000000007</v>
      </c>
      <c r="CC27" s="268">
        <f t="shared" si="18"/>
        <v>0.70000000000000007</v>
      </c>
      <c r="CD27" s="271">
        <f>CB27+0.1</f>
        <v>0.8</v>
      </c>
      <c r="CE27" s="268">
        <f t="shared" si="19"/>
        <v>0.8</v>
      </c>
      <c r="CF27" s="336">
        <v>0.8</v>
      </c>
      <c r="CG27" s="312">
        <f t="shared" si="20"/>
        <v>0.8</v>
      </c>
      <c r="CH27" s="367">
        <v>1</v>
      </c>
      <c r="CI27" s="366">
        <f t="shared" si="21"/>
        <v>1</v>
      </c>
      <c r="CJ27" s="400">
        <v>1</v>
      </c>
      <c r="CK27" s="383">
        <f t="shared" si="22"/>
        <v>1</v>
      </c>
      <c r="CL27" s="25" t="s">
        <v>160</v>
      </c>
      <c r="CM27" s="25" t="s">
        <v>96</v>
      </c>
      <c r="CN27" s="608"/>
      <c r="CO27" s="608"/>
      <c r="CP27" s="608"/>
      <c r="CQ27" s="518"/>
      <c r="CR27" s="500"/>
      <c r="CS27" s="529"/>
      <c r="CT27" s="503"/>
      <c r="CU27" s="500"/>
      <c r="CV27" s="529"/>
      <c r="CW27" s="503"/>
      <c r="CX27" s="500"/>
      <c r="CY27" s="529"/>
      <c r="CZ27" s="503"/>
      <c r="DA27" s="536"/>
      <c r="DB27" s="498"/>
      <c r="DC27" s="471"/>
      <c r="DD27" s="536"/>
      <c r="DE27" s="498"/>
      <c r="DF27" s="471"/>
      <c r="DG27" s="536"/>
      <c r="DH27" s="498"/>
      <c r="DI27" s="471"/>
      <c r="DJ27" s="589"/>
      <c r="DK27" s="489"/>
      <c r="DL27" s="764"/>
      <c r="DM27" s="589"/>
      <c r="DN27" s="589"/>
      <c r="DO27" s="489"/>
      <c r="DP27" s="489"/>
      <c r="DQ27" s="709"/>
      <c r="DR27" s="710"/>
      <c r="DS27" s="712"/>
      <c r="DT27" s="816"/>
      <c r="DU27" s="803"/>
      <c r="DV27" s="805"/>
      <c r="DW27" s="721"/>
      <c r="DX27" s="724"/>
      <c r="DY27" s="736"/>
      <c r="DZ27" s="611"/>
      <c r="EA27" s="579"/>
      <c r="EB27" s="579"/>
      <c r="EC27" s="716"/>
      <c r="ED27" s="716"/>
      <c r="EE27" s="716"/>
      <c r="EF27" s="716"/>
      <c r="EG27" s="564"/>
      <c r="EH27" s="573"/>
      <c r="EI27" s="551"/>
      <c r="EJ27" s="794"/>
      <c r="EK27" s="782"/>
    </row>
    <row r="28" spans="2:141" s="2" customFormat="1" ht="393" customHeight="1" x14ac:dyDescent="0.35">
      <c r="B28" s="631"/>
      <c r="C28" s="631"/>
      <c r="D28" s="631"/>
      <c r="E28" s="633"/>
      <c r="F28" s="633"/>
      <c r="G28" s="516"/>
      <c r="H28" s="604"/>
      <c r="I28" s="514"/>
      <c r="J28" s="514"/>
      <c r="K28" s="628"/>
      <c r="L28" s="635"/>
      <c r="M28" s="638"/>
      <c r="N28" s="631"/>
      <c r="O28" s="26" t="s">
        <v>64</v>
      </c>
      <c r="P28" s="609">
        <v>4</v>
      </c>
      <c r="Q28" s="608" t="s">
        <v>63</v>
      </c>
      <c r="R28" s="610">
        <v>10</v>
      </c>
      <c r="S28" s="611">
        <v>3</v>
      </c>
      <c r="T28" s="73">
        <v>0</v>
      </c>
      <c r="U28" s="599">
        <f>X28/S28</f>
        <v>0</v>
      </c>
      <c r="V28" s="600"/>
      <c r="W28" s="64">
        <f>T28/R28</f>
        <v>0</v>
      </c>
      <c r="X28" s="73">
        <v>0</v>
      </c>
      <c r="Y28" s="599">
        <f>X28/S28</f>
        <v>0</v>
      </c>
      <c r="Z28" s="600"/>
      <c r="AA28" s="64">
        <f>X28/R28</f>
        <v>0</v>
      </c>
      <c r="AB28" s="73">
        <v>0</v>
      </c>
      <c r="AC28" s="599">
        <f>AB28/S28</f>
        <v>0</v>
      </c>
      <c r="AD28" s="600"/>
      <c r="AE28" s="73">
        <v>0</v>
      </c>
      <c r="AF28" s="599">
        <f>(AE28+AE29)/S28</f>
        <v>0.33333333333333331</v>
      </c>
      <c r="AG28" s="600"/>
      <c r="AH28" s="64">
        <f>AE28/R28</f>
        <v>0</v>
      </c>
      <c r="AI28" s="73">
        <v>0</v>
      </c>
      <c r="AJ28" s="599">
        <f>(AI28+AI29)/S28</f>
        <v>0.33333333333333331</v>
      </c>
      <c r="AK28" s="600"/>
      <c r="AL28" s="64">
        <f>AI28/R28</f>
        <v>0</v>
      </c>
      <c r="AM28" s="73">
        <v>0</v>
      </c>
      <c r="AN28" s="599">
        <f>(AM28+AM29)/S28</f>
        <v>0.33333333333333331</v>
      </c>
      <c r="AO28" s="600"/>
      <c r="AP28" s="64">
        <f>AM28/R28</f>
        <v>0</v>
      </c>
      <c r="AQ28" s="269">
        <v>0.14000000000000001</v>
      </c>
      <c r="AR28" s="640">
        <f>(AQ26+AQ27+AQ28+AQ29)/S28</f>
        <v>0.76333333333333331</v>
      </c>
      <c r="AS28" s="641"/>
      <c r="AT28" s="262">
        <f>AQ28/R28</f>
        <v>1.4000000000000002E-2</v>
      </c>
      <c r="AU28" s="73">
        <v>0.14000000000000001</v>
      </c>
      <c r="AV28" s="599">
        <f>(AU28+AU29)/S28</f>
        <v>0.38000000000000006</v>
      </c>
      <c r="AW28" s="600"/>
      <c r="AX28" s="64">
        <f>AU28/R28</f>
        <v>1.4000000000000002E-2</v>
      </c>
      <c r="AY28" s="320">
        <v>1</v>
      </c>
      <c r="AZ28" s="507">
        <f>(AY28+AY29)/S28</f>
        <v>0.66666666666666663</v>
      </c>
      <c r="BA28" s="508"/>
      <c r="BB28" s="323">
        <f>AY28/R28</f>
        <v>0.1</v>
      </c>
      <c r="BC28" s="344">
        <v>1</v>
      </c>
      <c r="BD28" s="634">
        <f>(BC28+BC29)/S28</f>
        <v>0.8666666666666667</v>
      </c>
      <c r="BE28" s="635"/>
      <c r="BF28" s="343">
        <f>BC28/R28</f>
        <v>0.1</v>
      </c>
      <c r="BG28" s="400">
        <v>1</v>
      </c>
      <c r="BH28" s="637">
        <f>(BG28+BG29)/S28</f>
        <v>0.95000000000000007</v>
      </c>
      <c r="BI28" s="638"/>
      <c r="BJ28" s="379">
        <f>BG28/R28</f>
        <v>0.1</v>
      </c>
      <c r="BK28" s="608"/>
      <c r="BL28" s="653"/>
      <c r="BM28" s="608"/>
      <c r="BN28" s="655"/>
      <c r="BO28" s="23">
        <v>1</v>
      </c>
      <c r="BP28" s="73">
        <v>0</v>
      </c>
      <c r="BQ28" s="64">
        <f>BP28/R28</f>
        <v>0</v>
      </c>
      <c r="BR28" s="73">
        <v>0</v>
      </c>
      <c r="BS28" s="64">
        <f>BR28/R28</f>
        <v>0</v>
      </c>
      <c r="BT28" s="73">
        <v>0</v>
      </c>
      <c r="BU28" s="64">
        <f>BT28/R28</f>
        <v>0</v>
      </c>
      <c r="BV28" s="73">
        <v>0</v>
      </c>
      <c r="BW28" s="144">
        <f>BV28/R28</f>
        <v>0</v>
      </c>
      <c r="BX28" s="73">
        <v>0</v>
      </c>
      <c r="BY28" s="133">
        <f t="shared" si="16"/>
        <v>0</v>
      </c>
      <c r="BZ28" s="234">
        <v>0</v>
      </c>
      <c r="CA28" s="143">
        <f t="shared" si="17"/>
        <v>0</v>
      </c>
      <c r="CB28" s="272">
        <v>0</v>
      </c>
      <c r="CC28" s="268">
        <f t="shared" si="18"/>
        <v>0</v>
      </c>
      <c r="CD28" s="272">
        <v>0.14000000000000001</v>
      </c>
      <c r="CE28" s="268">
        <v>0</v>
      </c>
      <c r="CF28" s="316">
        <v>0.14000000000000001</v>
      </c>
      <c r="CG28" s="312">
        <v>0</v>
      </c>
      <c r="CH28" s="368">
        <v>1</v>
      </c>
      <c r="CI28" s="366">
        <f t="shared" si="21"/>
        <v>1</v>
      </c>
      <c r="CJ28" s="403">
        <v>1</v>
      </c>
      <c r="CK28" s="383">
        <f t="shared" si="22"/>
        <v>1</v>
      </c>
      <c r="CL28" s="25" t="s">
        <v>160</v>
      </c>
      <c r="CM28" s="25" t="s">
        <v>96</v>
      </c>
      <c r="CN28" s="608"/>
      <c r="CO28" s="608"/>
      <c r="CP28" s="608"/>
      <c r="CQ28" s="518"/>
      <c r="CR28" s="501"/>
      <c r="CS28" s="530"/>
      <c r="CT28" s="504"/>
      <c r="CU28" s="501"/>
      <c r="CV28" s="530"/>
      <c r="CW28" s="503"/>
      <c r="CX28" s="501"/>
      <c r="CY28" s="530"/>
      <c r="CZ28" s="503"/>
      <c r="DA28" s="536"/>
      <c r="DB28" s="498"/>
      <c r="DC28" s="471"/>
      <c r="DD28" s="536"/>
      <c r="DE28" s="498"/>
      <c r="DF28" s="471"/>
      <c r="DG28" s="536"/>
      <c r="DH28" s="498"/>
      <c r="DI28" s="471"/>
      <c r="DJ28" s="589"/>
      <c r="DK28" s="489"/>
      <c r="DL28" s="764"/>
      <c r="DM28" s="589"/>
      <c r="DN28" s="589"/>
      <c r="DO28" s="489"/>
      <c r="DP28" s="489"/>
      <c r="DQ28" s="709"/>
      <c r="DR28" s="710"/>
      <c r="DS28" s="712"/>
      <c r="DT28" s="816"/>
      <c r="DU28" s="803"/>
      <c r="DV28" s="805"/>
      <c r="DW28" s="722"/>
      <c r="DX28" s="725"/>
      <c r="DY28" s="690"/>
      <c r="DZ28" s="611"/>
      <c r="EA28" s="579"/>
      <c r="EB28" s="579"/>
      <c r="EC28" s="716"/>
      <c r="ED28" s="716"/>
      <c r="EE28" s="716"/>
      <c r="EF28" s="716"/>
      <c r="EG28" s="564"/>
      <c r="EH28" s="573"/>
      <c r="EI28" s="551"/>
      <c r="EJ28" s="795"/>
      <c r="EK28" s="783"/>
    </row>
    <row r="29" spans="2:141" s="2" customFormat="1" ht="69.75" customHeight="1" x14ac:dyDescent="0.35">
      <c r="B29" s="631"/>
      <c r="C29" s="631"/>
      <c r="D29" s="631"/>
      <c r="E29" s="633"/>
      <c r="F29" s="633"/>
      <c r="G29" s="516"/>
      <c r="H29" s="604"/>
      <c r="I29" s="514"/>
      <c r="J29" s="514"/>
      <c r="K29" s="628"/>
      <c r="L29" s="635"/>
      <c r="M29" s="638"/>
      <c r="N29" s="631"/>
      <c r="O29" s="26" t="s">
        <v>64</v>
      </c>
      <c r="P29" s="609"/>
      <c r="Q29" s="608"/>
      <c r="R29" s="610"/>
      <c r="S29" s="611"/>
      <c r="T29" s="73">
        <v>0</v>
      </c>
      <c r="U29" s="601"/>
      <c r="V29" s="600"/>
      <c r="W29" s="64">
        <f>T29/R28</f>
        <v>0</v>
      </c>
      <c r="X29" s="73">
        <v>0</v>
      </c>
      <c r="Y29" s="601"/>
      <c r="Z29" s="600"/>
      <c r="AA29" s="64">
        <f>X29/R28</f>
        <v>0</v>
      </c>
      <c r="AB29" s="73">
        <v>0</v>
      </c>
      <c r="AC29" s="601"/>
      <c r="AD29" s="600"/>
      <c r="AE29" s="73">
        <v>1</v>
      </c>
      <c r="AF29" s="601"/>
      <c r="AG29" s="600"/>
      <c r="AH29" s="64">
        <f>AE29/R28</f>
        <v>0.1</v>
      </c>
      <c r="AI29" s="73">
        <v>1</v>
      </c>
      <c r="AJ29" s="601"/>
      <c r="AK29" s="600"/>
      <c r="AL29" s="64">
        <f>AI29/R28</f>
        <v>0.1</v>
      </c>
      <c r="AM29" s="73">
        <v>1</v>
      </c>
      <c r="AN29" s="601"/>
      <c r="AO29" s="600"/>
      <c r="AP29" s="64">
        <f>AM29/R28</f>
        <v>0.1</v>
      </c>
      <c r="AQ29" s="269">
        <v>1</v>
      </c>
      <c r="AR29" s="642"/>
      <c r="AS29" s="641"/>
      <c r="AT29" s="262">
        <f>AQ29/R28</f>
        <v>0.1</v>
      </c>
      <c r="AU29" s="73">
        <v>1</v>
      </c>
      <c r="AV29" s="601"/>
      <c r="AW29" s="600"/>
      <c r="AX29" s="64">
        <f>AU29/R28</f>
        <v>0.1</v>
      </c>
      <c r="AY29" s="320">
        <v>1</v>
      </c>
      <c r="AZ29" s="509"/>
      <c r="BA29" s="508"/>
      <c r="BB29" s="323">
        <f>AY29/R28</f>
        <v>0.1</v>
      </c>
      <c r="BC29" s="347">
        <f>1+0.6</f>
        <v>1.6</v>
      </c>
      <c r="BD29" s="636"/>
      <c r="BE29" s="635"/>
      <c r="BF29" s="343">
        <f>BC29/R28</f>
        <v>0.16</v>
      </c>
      <c r="BG29" s="418">
        <f>BC29+0.25</f>
        <v>1.85</v>
      </c>
      <c r="BH29" s="639"/>
      <c r="BI29" s="638"/>
      <c r="BJ29" s="379">
        <f>BG29/R28</f>
        <v>0.185</v>
      </c>
      <c r="BK29" s="608" t="s">
        <v>90</v>
      </c>
      <c r="BL29" s="598">
        <v>2020130010298</v>
      </c>
      <c r="BM29" s="608" t="s">
        <v>141</v>
      </c>
      <c r="BN29" s="612" t="s">
        <v>142</v>
      </c>
      <c r="BO29" s="23">
        <v>2</v>
      </c>
      <c r="BP29" s="73">
        <v>0</v>
      </c>
      <c r="BQ29" s="64">
        <f>BP29/R28</f>
        <v>0</v>
      </c>
      <c r="BR29" s="73">
        <v>0</v>
      </c>
      <c r="BS29" s="64">
        <f>BR29/R28</f>
        <v>0</v>
      </c>
      <c r="BT29" s="73">
        <v>0</v>
      </c>
      <c r="BU29" s="64">
        <f>BT29/R28</f>
        <v>0</v>
      </c>
      <c r="BV29" s="73">
        <v>1</v>
      </c>
      <c r="BW29" s="144">
        <f>BV29/R28</f>
        <v>0.1</v>
      </c>
      <c r="BX29" s="73">
        <v>1</v>
      </c>
      <c r="BY29" s="133">
        <f t="shared" si="16"/>
        <v>0.5</v>
      </c>
      <c r="BZ29" s="234">
        <v>1</v>
      </c>
      <c r="CA29" s="143">
        <f t="shared" si="17"/>
        <v>0.5</v>
      </c>
      <c r="CB29" s="272">
        <v>1</v>
      </c>
      <c r="CC29" s="268">
        <f t="shared" si="18"/>
        <v>0.5</v>
      </c>
      <c r="CD29" s="272">
        <v>1</v>
      </c>
      <c r="CE29" s="268">
        <f t="shared" si="19"/>
        <v>0.5</v>
      </c>
      <c r="CF29" s="316">
        <v>1</v>
      </c>
      <c r="CG29" s="312">
        <f t="shared" si="20"/>
        <v>0.5</v>
      </c>
      <c r="CH29" s="369">
        <f>1+0.6</f>
        <v>1.6</v>
      </c>
      <c r="CI29" s="366">
        <f t="shared" si="21"/>
        <v>0.8</v>
      </c>
      <c r="CJ29" s="417">
        <f>1.6 +0.25</f>
        <v>1.85</v>
      </c>
      <c r="CK29" s="383">
        <f>CJ29/BO29</f>
        <v>0.92500000000000004</v>
      </c>
      <c r="CL29" s="25" t="s">
        <v>160</v>
      </c>
      <c r="CM29" s="25" t="s">
        <v>96</v>
      </c>
      <c r="CN29" s="608" t="s">
        <v>92</v>
      </c>
      <c r="CO29" s="608" t="s">
        <v>93</v>
      </c>
      <c r="CP29" s="519" t="s">
        <v>155</v>
      </c>
      <c r="CQ29" s="518">
        <v>49500000</v>
      </c>
      <c r="CR29" s="499">
        <v>215530000</v>
      </c>
      <c r="CS29" s="528">
        <v>38500000</v>
      </c>
      <c r="CT29" s="502">
        <f>CS29/CR29</f>
        <v>0.17862942513803182</v>
      </c>
      <c r="CU29" s="499">
        <v>215530000</v>
      </c>
      <c r="CV29" s="528">
        <v>38500000</v>
      </c>
      <c r="CW29" s="503"/>
      <c r="CX29" s="499">
        <v>215530000</v>
      </c>
      <c r="CY29" s="528">
        <v>38500000</v>
      </c>
      <c r="CZ29" s="503"/>
      <c r="DA29" s="536">
        <v>307655211</v>
      </c>
      <c r="DB29" s="498">
        <v>38500000</v>
      </c>
      <c r="DC29" s="471"/>
      <c r="DD29" s="536">
        <v>307655211.26999998</v>
      </c>
      <c r="DE29" s="498">
        <v>38500000</v>
      </c>
      <c r="DF29" s="471"/>
      <c r="DG29" s="536">
        <v>307655211.26999998</v>
      </c>
      <c r="DH29" s="498">
        <v>38500000</v>
      </c>
      <c r="DI29" s="471"/>
      <c r="DJ29" s="589">
        <v>307655211.26999998</v>
      </c>
      <c r="DK29" s="489">
        <v>38500000</v>
      </c>
      <c r="DL29" s="764"/>
      <c r="DM29" s="589">
        <v>127530000</v>
      </c>
      <c r="DN29" s="589">
        <f>+DJ29-DM29</f>
        <v>180125211.26999998</v>
      </c>
      <c r="DO29" s="489">
        <v>69508332</v>
      </c>
      <c r="DP29" s="488">
        <f>+DO29/DN29</f>
        <v>0.38588896862310956</v>
      </c>
      <c r="DQ29" s="709">
        <v>180125211.27000001</v>
      </c>
      <c r="DR29" s="710">
        <v>73749605.909999996</v>
      </c>
      <c r="DS29" s="711">
        <f>+DR29/DQ29</f>
        <v>0.40943522225465973</v>
      </c>
      <c r="DT29" s="762">
        <v>180125211.27000001</v>
      </c>
      <c r="DU29" s="806">
        <v>73749605.909999996</v>
      </c>
      <c r="DV29" s="804">
        <f>+DU29/DT29</f>
        <v>0.40943522225465973</v>
      </c>
      <c r="DW29" s="687">
        <v>180125211.27000001</v>
      </c>
      <c r="DX29" s="687">
        <v>89283826.909999996</v>
      </c>
      <c r="DY29" s="689">
        <f>DX29/DW29</f>
        <v>0.49567645906139896</v>
      </c>
      <c r="DZ29" s="611" t="s">
        <v>137</v>
      </c>
      <c r="EA29" s="580" t="s">
        <v>187</v>
      </c>
      <c r="EB29" s="580" t="s">
        <v>240</v>
      </c>
      <c r="EC29" s="691" t="s">
        <v>267</v>
      </c>
      <c r="ED29" s="691" t="s">
        <v>291</v>
      </c>
      <c r="EE29" s="554" t="s">
        <v>315</v>
      </c>
      <c r="EF29" s="799" t="s">
        <v>348</v>
      </c>
      <c r="EG29" s="565" t="s">
        <v>399</v>
      </c>
      <c r="EH29" s="574" t="s">
        <v>424</v>
      </c>
      <c r="EI29" s="552" t="s">
        <v>468</v>
      </c>
      <c r="EJ29" s="796" t="s">
        <v>495</v>
      </c>
      <c r="EK29" s="784" t="s">
        <v>543</v>
      </c>
    </row>
    <row r="30" spans="2:141" s="2" customFormat="1" ht="409.6" customHeight="1" x14ac:dyDescent="0.35">
      <c r="B30" s="631"/>
      <c r="C30" s="631"/>
      <c r="D30" s="631"/>
      <c r="E30" s="633"/>
      <c r="F30" s="633"/>
      <c r="G30" s="516"/>
      <c r="H30" s="604"/>
      <c r="I30" s="514"/>
      <c r="J30" s="514"/>
      <c r="K30" s="628"/>
      <c r="L30" s="635"/>
      <c r="M30" s="638"/>
      <c r="N30" s="631"/>
      <c r="O30" s="26" t="s">
        <v>59</v>
      </c>
      <c r="P30" s="27">
        <v>11147</v>
      </c>
      <c r="Q30" s="26" t="s">
        <v>58</v>
      </c>
      <c r="R30" s="23">
        <v>16720</v>
      </c>
      <c r="S30" s="23">
        <v>13004</v>
      </c>
      <c r="T30" s="73">
        <v>914</v>
      </c>
      <c r="U30" s="64">
        <f t="shared" ref="U30:U36" si="23">T30/S30</f>
        <v>7.0286065825899718E-2</v>
      </c>
      <c r="V30" s="600"/>
      <c r="W30" s="64">
        <f t="shared" ref="W30:W36" si="24">T30/R30</f>
        <v>5.466507177033493E-2</v>
      </c>
      <c r="X30" s="95">
        <f>914+2419</f>
        <v>3333</v>
      </c>
      <c r="Y30" s="64">
        <f t="shared" ref="Y30:Y36" si="25">X30/S30</f>
        <v>0.2563057520762842</v>
      </c>
      <c r="Z30" s="600"/>
      <c r="AA30" s="64">
        <f>X30/R30</f>
        <v>0.1993421052631579</v>
      </c>
      <c r="AB30" s="95">
        <f>914+2419+325</f>
        <v>3658</v>
      </c>
      <c r="AC30" s="64">
        <f>AB30/S30</f>
        <v>0.2812980621347278</v>
      </c>
      <c r="AD30" s="600"/>
      <c r="AE30" s="95">
        <f>AB30+258+337</f>
        <v>4253</v>
      </c>
      <c r="AF30" s="64">
        <f>AE30/S30</f>
        <v>0.32705321439557061</v>
      </c>
      <c r="AG30" s="600"/>
      <c r="AH30" s="64">
        <f t="shared" ref="AH30:AH36" si="26">AE30/R30</f>
        <v>0.25436602870813396</v>
      </c>
      <c r="AI30" s="95">
        <f>AE30+436</f>
        <v>4689</v>
      </c>
      <c r="AJ30" s="64">
        <f>AI30/S30</f>
        <v>0.3605813595816672</v>
      </c>
      <c r="AK30" s="600"/>
      <c r="AL30" s="64">
        <f t="shared" ref="AL30:AL36" si="27">AI30/R30</f>
        <v>0.28044258373205744</v>
      </c>
      <c r="AM30" s="95">
        <f>AI30+293</f>
        <v>4982</v>
      </c>
      <c r="AN30" s="64">
        <f>AM30/S30</f>
        <v>0.3831128883420486</v>
      </c>
      <c r="AO30" s="600"/>
      <c r="AP30" s="64">
        <f>AM30/R30</f>
        <v>0.29796650717703349</v>
      </c>
      <c r="AQ30" s="261">
        <f>AM30+610</f>
        <v>5592</v>
      </c>
      <c r="AR30" s="262">
        <f>AQ30/S30</f>
        <v>0.43002153183635805</v>
      </c>
      <c r="AS30" s="641"/>
      <c r="AT30" s="262">
        <f>AQ30/R30</f>
        <v>0.33444976076555022</v>
      </c>
      <c r="AU30" s="95">
        <f>AQ30+610+527</f>
        <v>6729</v>
      </c>
      <c r="AV30" s="64">
        <f>AU30/S30</f>
        <v>0.51745616733312827</v>
      </c>
      <c r="AW30" s="600"/>
      <c r="AX30" s="64">
        <f>AU30/R30</f>
        <v>0.40245215311004784</v>
      </c>
      <c r="AY30" s="318">
        <f>AU30+619</f>
        <v>7348</v>
      </c>
      <c r="AZ30" s="323">
        <f>AY30/S30</f>
        <v>0.56505690556751764</v>
      </c>
      <c r="BA30" s="508"/>
      <c r="BB30" s="323">
        <f>AY30/R30</f>
        <v>0.43947368421052629</v>
      </c>
      <c r="BC30" s="342">
        <f>AY30+420</f>
        <v>7768</v>
      </c>
      <c r="BD30" s="345">
        <f>BC30/S30</f>
        <v>0.59735466010458316</v>
      </c>
      <c r="BE30" s="635"/>
      <c r="BF30" s="343">
        <f>BC30/R30</f>
        <v>0.46459330143540672</v>
      </c>
      <c r="BG30" s="408">
        <f>BC30+978+50+69</f>
        <v>8865</v>
      </c>
      <c r="BH30" s="379">
        <f>BG30/S30</f>
        <v>0.68171331897877574</v>
      </c>
      <c r="BI30" s="638"/>
      <c r="BJ30" s="379">
        <f>BG30/R30</f>
        <v>0.53020334928229662</v>
      </c>
      <c r="BK30" s="608"/>
      <c r="BL30" s="598"/>
      <c r="BM30" s="608"/>
      <c r="BN30" s="612"/>
      <c r="BO30" s="23">
        <v>13004</v>
      </c>
      <c r="BP30" s="73">
        <v>914</v>
      </c>
      <c r="BQ30" s="64">
        <f t="shared" ref="BQ30:BQ36" si="28">BP30/R30</f>
        <v>5.466507177033493E-2</v>
      </c>
      <c r="BR30" s="95">
        <f>BP30+2419</f>
        <v>3333</v>
      </c>
      <c r="BS30" s="64">
        <f>BR30/R30</f>
        <v>0.1993421052631579</v>
      </c>
      <c r="BT30" s="95">
        <f>914+2419+325</f>
        <v>3658</v>
      </c>
      <c r="BU30" s="64">
        <f>BT30/R30</f>
        <v>0.2187799043062201</v>
      </c>
      <c r="BV30" s="95">
        <f>3916+337</f>
        <v>4253</v>
      </c>
      <c r="BW30" s="143">
        <f t="shared" ref="BW30:BW36" si="29">BV30/R30</f>
        <v>0.25436602870813396</v>
      </c>
      <c r="BX30" s="95">
        <f>BV30+436</f>
        <v>4689</v>
      </c>
      <c r="BY30" s="133">
        <f t="shared" si="16"/>
        <v>0.3605813595816672</v>
      </c>
      <c r="BZ30" s="95">
        <v>4982</v>
      </c>
      <c r="CA30" s="143">
        <f>BZ30/BO30</f>
        <v>0.3831128883420486</v>
      </c>
      <c r="CB30" s="261">
        <f>BZ30+610</f>
        <v>5592</v>
      </c>
      <c r="CC30" s="268">
        <f t="shared" si="18"/>
        <v>0.43002153183635805</v>
      </c>
      <c r="CD30" s="261">
        <v>6729</v>
      </c>
      <c r="CE30" s="268">
        <f t="shared" si="19"/>
        <v>0.51745616733312827</v>
      </c>
      <c r="CF30" s="311">
        <v>7348</v>
      </c>
      <c r="CG30" s="312">
        <f t="shared" si="20"/>
        <v>0.56505690556751764</v>
      </c>
      <c r="CH30" s="365">
        <f>CF30+420</f>
        <v>7768</v>
      </c>
      <c r="CI30" s="366">
        <f t="shared" si="21"/>
        <v>0.59735466010458316</v>
      </c>
      <c r="CJ30" s="398">
        <f>CH30+978+50+69</f>
        <v>8865</v>
      </c>
      <c r="CK30" s="383">
        <f t="shared" si="22"/>
        <v>0.68171331897877574</v>
      </c>
      <c r="CL30" s="25" t="s">
        <v>160</v>
      </c>
      <c r="CM30" s="25" t="s">
        <v>96</v>
      </c>
      <c r="CN30" s="608"/>
      <c r="CO30" s="608"/>
      <c r="CP30" s="519"/>
      <c r="CQ30" s="518"/>
      <c r="CR30" s="501"/>
      <c r="CS30" s="530"/>
      <c r="CT30" s="504"/>
      <c r="CU30" s="501"/>
      <c r="CV30" s="530"/>
      <c r="CW30" s="503"/>
      <c r="CX30" s="501"/>
      <c r="CY30" s="530"/>
      <c r="CZ30" s="503"/>
      <c r="DA30" s="536"/>
      <c r="DB30" s="498"/>
      <c r="DC30" s="471"/>
      <c r="DD30" s="536"/>
      <c r="DE30" s="498"/>
      <c r="DF30" s="471"/>
      <c r="DG30" s="536"/>
      <c r="DH30" s="498"/>
      <c r="DI30" s="471"/>
      <c r="DJ30" s="589"/>
      <c r="DK30" s="489"/>
      <c r="DL30" s="764"/>
      <c r="DM30" s="589"/>
      <c r="DN30" s="589"/>
      <c r="DO30" s="489"/>
      <c r="DP30" s="489"/>
      <c r="DQ30" s="709"/>
      <c r="DR30" s="710"/>
      <c r="DS30" s="712"/>
      <c r="DT30" s="762"/>
      <c r="DU30" s="806"/>
      <c r="DV30" s="805"/>
      <c r="DW30" s="688"/>
      <c r="DX30" s="688"/>
      <c r="DY30" s="690"/>
      <c r="DZ30" s="611"/>
      <c r="EA30" s="580"/>
      <c r="EB30" s="580"/>
      <c r="EC30" s="691"/>
      <c r="ED30" s="691"/>
      <c r="EE30" s="555"/>
      <c r="EF30" s="799"/>
      <c r="EG30" s="566"/>
      <c r="EH30" s="575"/>
      <c r="EI30" s="553"/>
      <c r="EJ30" s="797"/>
      <c r="EK30" s="785"/>
    </row>
    <row r="31" spans="2:141" s="2" customFormat="1" ht="409.5" x14ac:dyDescent="0.35">
      <c r="B31" s="631"/>
      <c r="C31" s="631"/>
      <c r="D31" s="631"/>
      <c r="E31" s="633"/>
      <c r="F31" s="633"/>
      <c r="G31" s="516"/>
      <c r="H31" s="604"/>
      <c r="I31" s="514"/>
      <c r="J31" s="514"/>
      <c r="K31" s="628"/>
      <c r="L31" s="635"/>
      <c r="M31" s="638"/>
      <c r="N31" s="631"/>
      <c r="O31" s="44" t="s">
        <v>61</v>
      </c>
      <c r="P31" s="27">
        <v>0</v>
      </c>
      <c r="Q31" s="44" t="s">
        <v>60</v>
      </c>
      <c r="R31" s="23">
        <v>10</v>
      </c>
      <c r="S31" s="23">
        <v>4</v>
      </c>
      <c r="T31" s="73">
        <v>0</v>
      </c>
      <c r="U31" s="64">
        <f t="shared" si="23"/>
        <v>0</v>
      </c>
      <c r="V31" s="600"/>
      <c r="W31" s="64">
        <f t="shared" si="24"/>
        <v>0</v>
      </c>
      <c r="X31" s="73">
        <v>0</v>
      </c>
      <c r="Y31" s="64">
        <f t="shared" si="25"/>
        <v>0</v>
      </c>
      <c r="Z31" s="600"/>
      <c r="AA31" s="64">
        <f>X31/R31</f>
        <v>0</v>
      </c>
      <c r="AB31" s="73">
        <v>0</v>
      </c>
      <c r="AC31" s="64">
        <f>AB31/S31</f>
        <v>0</v>
      </c>
      <c r="AD31" s="600"/>
      <c r="AE31" s="73">
        <v>0</v>
      </c>
      <c r="AF31" s="64">
        <f>AE31/S31</f>
        <v>0</v>
      </c>
      <c r="AG31" s="600"/>
      <c r="AH31" s="64">
        <f t="shared" si="26"/>
        <v>0</v>
      </c>
      <c r="AI31" s="73">
        <v>0</v>
      </c>
      <c r="AJ31" s="180">
        <v>0</v>
      </c>
      <c r="AK31" s="600"/>
      <c r="AL31" s="64">
        <f t="shared" si="27"/>
        <v>0</v>
      </c>
      <c r="AM31" s="73">
        <v>0</v>
      </c>
      <c r="AN31" s="180">
        <v>0</v>
      </c>
      <c r="AO31" s="600"/>
      <c r="AP31" s="64">
        <f>AM31/R31</f>
        <v>0</v>
      </c>
      <c r="AQ31" s="269">
        <v>0</v>
      </c>
      <c r="AR31" s="275">
        <f>AQ31/S31</f>
        <v>0</v>
      </c>
      <c r="AS31" s="641"/>
      <c r="AT31" s="262">
        <f>AQ31/R31</f>
        <v>0</v>
      </c>
      <c r="AU31" s="73">
        <v>0</v>
      </c>
      <c r="AV31" s="180">
        <f>AU31/S31</f>
        <v>0</v>
      </c>
      <c r="AW31" s="600"/>
      <c r="AX31" s="64">
        <f>AU31/R31</f>
        <v>0</v>
      </c>
      <c r="AY31" s="320">
        <v>0</v>
      </c>
      <c r="AZ31" s="324">
        <f>AY31/S31</f>
        <v>0</v>
      </c>
      <c r="BA31" s="508"/>
      <c r="BB31" s="323">
        <f>AY31/R31</f>
        <v>0</v>
      </c>
      <c r="BC31" s="344">
        <v>0</v>
      </c>
      <c r="BD31" s="345">
        <f>BC31/S31</f>
        <v>0</v>
      </c>
      <c r="BE31" s="635"/>
      <c r="BF31" s="343">
        <f>BC31/R31</f>
        <v>0</v>
      </c>
      <c r="BG31" s="400">
        <v>0</v>
      </c>
      <c r="BH31" s="379">
        <f>BG31/S31</f>
        <v>0</v>
      </c>
      <c r="BI31" s="638"/>
      <c r="BJ31" s="379">
        <f>BG31/R31</f>
        <v>0</v>
      </c>
      <c r="BK31" s="44" t="s">
        <v>91</v>
      </c>
      <c r="BL31" s="51">
        <v>2020130010315</v>
      </c>
      <c r="BM31" s="24" t="s">
        <v>143</v>
      </c>
      <c r="BN31" s="44" t="s">
        <v>144</v>
      </c>
      <c r="BO31" s="23">
        <v>4</v>
      </c>
      <c r="BP31" s="73">
        <v>0</v>
      </c>
      <c r="BQ31" s="64">
        <f t="shared" si="28"/>
        <v>0</v>
      </c>
      <c r="BR31" s="73">
        <v>0</v>
      </c>
      <c r="BS31" s="64">
        <f>BR31/R31</f>
        <v>0</v>
      </c>
      <c r="BT31" s="73">
        <v>0</v>
      </c>
      <c r="BU31" s="64">
        <f>BT31/R31</f>
        <v>0</v>
      </c>
      <c r="BV31" s="73">
        <v>0</v>
      </c>
      <c r="BW31" s="143">
        <f t="shared" si="29"/>
        <v>0</v>
      </c>
      <c r="BX31" s="73">
        <v>0</v>
      </c>
      <c r="BY31" s="133">
        <f t="shared" si="16"/>
        <v>0</v>
      </c>
      <c r="BZ31" s="234">
        <v>0</v>
      </c>
      <c r="CA31" s="143">
        <f t="shared" si="17"/>
        <v>0</v>
      </c>
      <c r="CB31" s="272">
        <v>0</v>
      </c>
      <c r="CC31" s="268">
        <f t="shared" si="18"/>
        <v>0</v>
      </c>
      <c r="CD31" s="272">
        <v>0</v>
      </c>
      <c r="CE31" s="268">
        <f t="shared" si="19"/>
        <v>0</v>
      </c>
      <c r="CF31" s="316">
        <v>0</v>
      </c>
      <c r="CG31" s="312">
        <f t="shared" si="20"/>
        <v>0</v>
      </c>
      <c r="CH31" s="368">
        <v>0</v>
      </c>
      <c r="CI31" s="366">
        <f t="shared" si="21"/>
        <v>0</v>
      </c>
      <c r="CJ31" s="403">
        <v>0</v>
      </c>
      <c r="CK31" s="383">
        <f t="shared" si="22"/>
        <v>0</v>
      </c>
      <c r="CL31" s="25" t="s">
        <v>160</v>
      </c>
      <c r="CM31" s="25" t="s">
        <v>96</v>
      </c>
      <c r="CN31" s="24" t="s">
        <v>92</v>
      </c>
      <c r="CO31" s="24" t="s">
        <v>93</v>
      </c>
      <c r="CP31" s="24" t="s">
        <v>156</v>
      </c>
      <c r="CQ31" s="89">
        <v>39346487</v>
      </c>
      <c r="CR31" s="89">
        <v>152346487</v>
      </c>
      <c r="CS31" s="93">
        <v>47600000</v>
      </c>
      <c r="CT31" s="102">
        <f>CS31/CR31</f>
        <v>0.31244566866842161</v>
      </c>
      <c r="CU31" s="89">
        <v>152346487</v>
      </c>
      <c r="CV31" s="93">
        <v>47600000</v>
      </c>
      <c r="CW31" s="503"/>
      <c r="CX31" s="89">
        <v>152346487</v>
      </c>
      <c r="CY31" s="93">
        <v>47600000</v>
      </c>
      <c r="CZ31" s="503"/>
      <c r="DA31" s="121">
        <v>244471698</v>
      </c>
      <c r="DB31" s="122">
        <v>47600000</v>
      </c>
      <c r="DC31" s="471"/>
      <c r="DD31" s="121">
        <v>244471698.25999999</v>
      </c>
      <c r="DE31" s="122">
        <v>47600000</v>
      </c>
      <c r="DF31" s="471"/>
      <c r="DG31" s="121">
        <v>244471698.25999999</v>
      </c>
      <c r="DH31" s="122">
        <v>47600000</v>
      </c>
      <c r="DI31" s="471"/>
      <c r="DJ31" s="255">
        <v>244471698.25999999</v>
      </c>
      <c r="DK31" s="256">
        <v>47600000</v>
      </c>
      <c r="DL31" s="764"/>
      <c r="DM31" s="255">
        <v>65400000</v>
      </c>
      <c r="DN31" s="255">
        <f>+DJ31-DM31</f>
        <v>179071698.25999999</v>
      </c>
      <c r="DO31" s="256">
        <v>47600000</v>
      </c>
      <c r="DP31" s="281">
        <f>+DO31/DN31</f>
        <v>0.26581531566695715</v>
      </c>
      <c r="DQ31" s="305">
        <v>179071698.25999999</v>
      </c>
      <c r="DR31" s="306">
        <v>47600000</v>
      </c>
      <c r="DS31" s="332">
        <f>DR31/DQ31</f>
        <v>0.26581531566695715</v>
      </c>
      <c r="DT31" s="372">
        <v>179071698.25999999</v>
      </c>
      <c r="DU31" s="371">
        <v>47600000</v>
      </c>
      <c r="DV31" s="348">
        <f>DU31/DT31</f>
        <v>0.26581531566695715</v>
      </c>
      <c r="DW31" s="423">
        <v>179071698.25999999</v>
      </c>
      <c r="DX31" s="423">
        <v>52814169</v>
      </c>
      <c r="DY31" s="388">
        <f>DX31/DW31</f>
        <v>0.29493308832821474</v>
      </c>
      <c r="DZ31" s="52" t="s">
        <v>138</v>
      </c>
      <c r="EA31" s="157" t="s">
        <v>187</v>
      </c>
      <c r="EB31" s="157" t="s">
        <v>206</v>
      </c>
      <c r="EC31" s="174" t="s">
        <v>241</v>
      </c>
      <c r="ED31" s="174" t="s">
        <v>292</v>
      </c>
      <c r="EE31" s="174" t="s">
        <v>329</v>
      </c>
      <c r="EF31" s="215" t="s">
        <v>349</v>
      </c>
      <c r="EG31" s="267" t="s">
        <v>400</v>
      </c>
      <c r="EH31" s="291" t="s">
        <v>425</v>
      </c>
      <c r="EI31" s="301" t="s">
        <v>469</v>
      </c>
      <c r="EJ31" s="363" t="s">
        <v>507</v>
      </c>
      <c r="EK31" s="396" t="s">
        <v>535</v>
      </c>
    </row>
    <row r="32" spans="2:141" s="2" customFormat="1" ht="184.5" customHeight="1" x14ac:dyDescent="0.35">
      <c r="B32" s="631"/>
      <c r="C32" s="631"/>
      <c r="D32" s="631"/>
      <c r="E32" s="633"/>
      <c r="F32" s="633"/>
      <c r="G32" s="517"/>
      <c r="H32" s="605"/>
      <c r="I32" s="457"/>
      <c r="J32" s="457"/>
      <c r="K32" s="629"/>
      <c r="L32" s="636"/>
      <c r="M32" s="639"/>
      <c r="N32" s="631"/>
      <c r="O32" s="26" t="s">
        <v>161</v>
      </c>
      <c r="P32" s="43">
        <v>7</v>
      </c>
      <c r="Q32" s="26" t="s">
        <v>162</v>
      </c>
      <c r="R32" s="23">
        <v>48</v>
      </c>
      <c r="S32" s="23">
        <v>12</v>
      </c>
      <c r="T32" s="73">
        <v>12</v>
      </c>
      <c r="U32" s="64">
        <f t="shared" si="23"/>
        <v>1</v>
      </c>
      <c r="V32" s="601"/>
      <c r="W32" s="64">
        <f t="shared" si="24"/>
        <v>0.25</v>
      </c>
      <c r="X32" s="73">
        <v>12</v>
      </c>
      <c r="Y32" s="64">
        <f t="shared" si="25"/>
        <v>1</v>
      </c>
      <c r="Z32" s="601"/>
      <c r="AA32" s="64">
        <f>X32/R32</f>
        <v>0.25</v>
      </c>
      <c r="AB32" s="73">
        <f>X32</f>
        <v>12</v>
      </c>
      <c r="AC32" s="64">
        <f>AB32/S32</f>
        <v>1</v>
      </c>
      <c r="AD32" s="601"/>
      <c r="AE32" s="73">
        <v>12</v>
      </c>
      <c r="AF32" s="64">
        <f>AE32/S32</f>
        <v>1</v>
      </c>
      <c r="AG32" s="601"/>
      <c r="AH32" s="64">
        <f t="shared" si="26"/>
        <v>0.25</v>
      </c>
      <c r="AI32" s="73">
        <v>12</v>
      </c>
      <c r="AJ32" s="64">
        <f>AI32/S32</f>
        <v>1</v>
      </c>
      <c r="AK32" s="601"/>
      <c r="AL32" s="64">
        <f t="shared" si="27"/>
        <v>0.25</v>
      </c>
      <c r="AM32" s="73">
        <v>12</v>
      </c>
      <c r="AN32" s="64">
        <f>AM32/S32</f>
        <v>1</v>
      </c>
      <c r="AO32" s="601"/>
      <c r="AP32" s="64">
        <f>AM32/R32</f>
        <v>0.25</v>
      </c>
      <c r="AQ32" s="269">
        <v>12</v>
      </c>
      <c r="AR32" s="262">
        <f>AQ32/S32</f>
        <v>1</v>
      </c>
      <c r="AS32" s="642"/>
      <c r="AT32" s="262">
        <f>AQ32/R32</f>
        <v>0.25</v>
      </c>
      <c r="AU32" s="73">
        <v>12</v>
      </c>
      <c r="AV32" s="64">
        <f>AU32/S32</f>
        <v>1</v>
      </c>
      <c r="AW32" s="601"/>
      <c r="AX32" s="64">
        <f>AU32/R32</f>
        <v>0.25</v>
      </c>
      <c r="AY32" s="320">
        <v>12</v>
      </c>
      <c r="AZ32" s="323">
        <f>AY32/S32</f>
        <v>1</v>
      </c>
      <c r="BA32" s="509"/>
      <c r="BB32" s="323">
        <f>AY32/R32</f>
        <v>0.25</v>
      </c>
      <c r="BC32" s="344">
        <v>12</v>
      </c>
      <c r="BD32" s="343">
        <f>BC32/S32</f>
        <v>1</v>
      </c>
      <c r="BE32" s="636"/>
      <c r="BF32" s="343">
        <f>BC32/R32</f>
        <v>0.25</v>
      </c>
      <c r="BG32" s="400">
        <v>12</v>
      </c>
      <c r="BH32" s="379">
        <f>BG32/S32</f>
        <v>1</v>
      </c>
      <c r="BI32" s="639"/>
      <c r="BJ32" s="379">
        <f>BG32/R32</f>
        <v>0.25</v>
      </c>
      <c r="BK32" s="26" t="s">
        <v>163</v>
      </c>
      <c r="BL32" s="51" t="s">
        <v>164</v>
      </c>
      <c r="BM32" s="24" t="s">
        <v>165</v>
      </c>
      <c r="BN32" s="26" t="s">
        <v>169</v>
      </c>
      <c r="BO32" s="23">
        <v>12</v>
      </c>
      <c r="BP32" s="73">
        <v>12</v>
      </c>
      <c r="BQ32" s="64">
        <f t="shared" si="28"/>
        <v>0.25</v>
      </c>
      <c r="BR32" s="73">
        <v>12</v>
      </c>
      <c r="BS32" s="64">
        <f>BR32/R32</f>
        <v>0.25</v>
      </c>
      <c r="BT32" s="73">
        <f>BR32</f>
        <v>12</v>
      </c>
      <c r="BU32" s="64">
        <f>BT32/R32</f>
        <v>0.25</v>
      </c>
      <c r="BV32" s="73">
        <f>BT32</f>
        <v>12</v>
      </c>
      <c r="BW32" s="143">
        <f t="shared" si="29"/>
        <v>0.25</v>
      </c>
      <c r="BX32" s="73">
        <f>BV32</f>
        <v>12</v>
      </c>
      <c r="BY32" s="133">
        <f t="shared" si="16"/>
        <v>1</v>
      </c>
      <c r="BZ32" s="234">
        <v>12</v>
      </c>
      <c r="CA32" s="143">
        <f t="shared" si="17"/>
        <v>1</v>
      </c>
      <c r="CB32" s="272">
        <v>12</v>
      </c>
      <c r="CC32" s="268">
        <f t="shared" si="18"/>
        <v>1</v>
      </c>
      <c r="CD32" s="272">
        <v>12</v>
      </c>
      <c r="CE32" s="268">
        <f t="shared" si="19"/>
        <v>1</v>
      </c>
      <c r="CF32" s="316">
        <v>12</v>
      </c>
      <c r="CG32" s="312">
        <f t="shared" si="20"/>
        <v>1</v>
      </c>
      <c r="CH32" s="365">
        <v>12</v>
      </c>
      <c r="CI32" s="366">
        <f t="shared" si="21"/>
        <v>1</v>
      </c>
      <c r="CJ32" s="398">
        <v>12</v>
      </c>
      <c r="CK32" s="383">
        <f t="shared" si="22"/>
        <v>1</v>
      </c>
      <c r="CL32" s="25" t="s">
        <v>166</v>
      </c>
      <c r="CM32" s="25" t="s">
        <v>96</v>
      </c>
      <c r="CN32" s="24" t="s">
        <v>167</v>
      </c>
      <c r="CO32" s="24" t="s">
        <v>168</v>
      </c>
      <c r="CP32" s="24" t="s">
        <v>164</v>
      </c>
      <c r="CQ32" s="90">
        <v>0</v>
      </c>
      <c r="CR32" s="90">
        <v>0</v>
      </c>
      <c r="CS32" s="90">
        <v>0</v>
      </c>
      <c r="CT32" s="103"/>
      <c r="CU32" s="90">
        <v>0</v>
      </c>
      <c r="CV32" s="90">
        <v>0</v>
      </c>
      <c r="CW32" s="504"/>
      <c r="CX32" s="90">
        <v>0</v>
      </c>
      <c r="CY32" s="90">
        <v>0</v>
      </c>
      <c r="CZ32" s="504"/>
      <c r="DA32" s="147">
        <v>0</v>
      </c>
      <c r="DB32" s="148">
        <v>0</v>
      </c>
      <c r="DC32" s="472"/>
      <c r="DD32" s="147">
        <v>0</v>
      </c>
      <c r="DE32" s="147">
        <v>0</v>
      </c>
      <c r="DF32" s="472"/>
      <c r="DG32" s="147">
        <v>0</v>
      </c>
      <c r="DH32" s="147">
        <v>0</v>
      </c>
      <c r="DI32" s="472"/>
      <c r="DJ32" s="259">
        <v>0</v>
      </c>
      <c r="DK32" s="259">
        <v>0</v>
      </c>
      <c r="DL32" s="765"/>
      <c r="DM32" s="259">
        <v>0</v>
      </c>
      <c r="DN32" s="259">
        <v>0</v>
      </c>
      <c r="DO32" s="259">
        <v>0</v>
      </c>
      <c r="DP32" s="259">
        <v>0</v>
      </c>
      <c r="DQ32" s="334">
        <v>0</v>
      </c>
      <c r="DR32" s="334">
        <v>0</v>
      </c>
      <c r="DS32" s="333">
        <v>0</v>
      </c>
      <c r="DT32" s="374">
        <v>0</v>
      </c>
      <c r="DU32" s="374">
        <v>0</v>
      </c>
      <c r="DV32" s="373">
        <v>0</v>
      </c>
      <c r="DW32" s="425">
        <v>0</v>
      </c>
      <c r="DX32" s="425">
        <v>0</v>
      </c>
      <c r="DY32" s="390">
        <v>0</v>
      </c>
      <c r="DZ32" s="52" t="s">
        <v>173</v>
      </c>
      <c r="EA32" s="157" t="s">
        <v>185</v>
      </c>
      <c r="EB32" s="157" t="s">
        <v>226</v>
      </c>
      <c r="EC32" s="174" t="s">
        <v>257</v>
      </c>
      <c r="ED32" s="174" t="s">
        <v>277</v>
      </c>
      <c r="EE32" s="174" t="s">
        <v>314</v>
      </c>
      <c r="EF32" s="218" t="s">
        <v>350</v>
      </c>
      <c r="EG32" s="267" t="s">
        <v>387</v>
      </c>
      <c r="EH32" s="291" t="s">
        <v>466</v>
      </c>
      <c r="EI32" s="301" t="s">
        <v>467</v>
      </c>
      <c r="EJ32" s="363" t="s">
        <v>467</v>
      </c>
      <c r="EK32" s="396" t="s">
        <v>467</v>
      </c>
    </row>
    <row r="33" spans="2:141" s="2" customFormat="1" ht="101.25" customHeight="1" x14ac:dyDescent="0.35">
      <c r="B33" s="511" t="s">
        <v>36</v>
      </c>
      <c r="C33" s="511" t="s">
        <v>37</v>
      </c>
      <c r="D33" s="511" t="s">
        <v>32</v>
      </c>
      <c r="E33" s="510">
        <v>1049212</v>
      </c>
      <c r="F33" s="510">
        <f>+E33*20%</f>
        <v>209842.40000000002</v>
      </c>
      <c r="G33" s="515">
        <f>(AI34)/F33</f>
        <v>5.8029263866597021E-2</v>
      </c>
      <c r="H33" s="603">
        <f>AM34/R34</f>
        <v>7.0757863996980586E-2</v>
      </c>
      <c r="I33" s="456">
        <f>AQ34/F33</f>
        <v>9.1378100898579118E-2</v>
      </c>
      <c r="J33" s="456">
        <f>AU34/F33</f>
        <v>0.12631384315085986</v>
      </c>
      <c r="K33" s="627">
        <f>AY34/F33</f>
        <v>0.15006023568163535</v>
      </c>
      <c r="L33" s="634">
        <v>1</v>
      </c>
      <c r="M33" s="637">
        <v>1</v>
      </c>
      <c r="N33" s="511" t="s">
        <v>78</v>
      </c>
      <c r="O33" s="45" t="s">
        <v>35</v>
      </c>
      <c r="P33" s="46">
        <v>0</v>
      </c>
      <c r="Q33" s="45" t="s">
        <v>79</v>
      </c>
      <c r="R33" s="47">
        <v>2400</v>
      </c>
      <c r="S33" s="47">
        <v>2400</v>
      </c>
      <c r="T33" s="75">
        <f>88+316</f>
        <v>404</v>
      </c>
      <c r="U33" s="65">
        <f t="shared" si="23"/>
        <v>0.16833333333333333</v>
      </c>
      <c r="V33" s="606">
        <f>(U33+U34+U35+U36)/4</f>
        <v>0.19339005665270032</v>
      </c>
      <c r="W33" s="66">
        <f t="shared" si="24"/>
        <v>0.16833333333333333</v>
      </c>
      <c r="X33" s="75">
        <f>T33+389</f>
        <v>793</v>
      </c>
      <c r="Y33" s="65">
        <f t="shared" si="25"/>
        <v>0.33041666666666669</v>
      </c>
      <c r="Z33" s="606">
        <f>(Y33+Y34+Y35+Y36)/4</f>
        <v>0.27964799322271316</v>
      </c>
      <c r="AA33" s="66">
        <f>X33/R33</f>
        <v>0.33041666666666669</v>
      </c>
      <c r="AB33" s="112">
        <f>X33+502</f>
        <v>1295</v>
      </c>
      <c r="AC33" s="65">
        <f>AB33/S33</f>
        <v>0.5395833333333333</v>
      </c>
      <c r="AD33" s="606">
        <f>(AC33+AC34+AC35+AC36)/4</f>
        <v>0.33565434460696991</v>
      </c>
      <c r="AE33" s="112">
        <f>AB33+302+316</f>
        <v>1913</v>
      </c>
      <c r="AF33" s="65">
        <f>AE33/S33</f>
        <v>0.79708333333333337</v>
      </c>
      <c r="AG33" s="606">
        <f>(AF33+AF34+AF35+AF36)/4</f>
        <v>0.46105946477985027</v>
      </c>
      <c r="AH33" s="182">
        <f t="shared" si="26"/>
        <v>0.79708333333333337</v>
      </c>
      <c r="AI33" s="112">
        <f>1597+316+449</f>
        <v>2362</v>
      </c>
      <c r="AJ33" s="182">
        <f>AI33/S33</f>
        <v>0.98416666666666663</v>
      </c>
      <c r="AK33" s="606">
        <f>(AJ33+AJ34+AJ35+AJ36)/4</f>
        <v>0.51054901028710487</v>
      </c>
      <c r="AL33" s="182">
        <f t="shared" si="27"/>
        <v>0.98416666666666663</v>
      </c>
      <c r="AM33" s="112">
        <f>AI33+485</f>
        <v>2847</v>
      </c>
      <c r="AN33" s="182">
        <v>1</v>
      </c>
      <c r="AO33" s="606">
        <f>(AN33+AN34+AN35+AN36)/4</f>
        <v>0.51768949971883615</v>
      </c>
      <c r="AP33" s="182">
        <v>1</v>
      </c>
      <c r="AQ33" s="261">
        <f>AM33+445+17</f>
        <v>3309</v>
      </c>
      <c r="AR33" s="262">
        <v>1</v>
      </c>
      <c r="AS33" s="640">
        <f>(AR33+AR34+AR35+AR36)/4</f>
        <v>0.52284456877078944</v>
      </c>
      <c r="AT33" s="262">
        <v>1</v>
      </c>
      <c r="AU33" s="95">
        <v>3764</v>
      </c>
      <c r="AV33" s="64">
        <v>1</v>
      </c>
      <c r="AW33" s="599">
        <f>(AV33+AV34+AV35+AV36)/4</f>
        <v>0.53157852098245351</v>
      </c>
      <c r="AX33" s="64">
        <v>1</v>
      </c>
      <c r="AY33" s="318">
        <f>AU33+369</f>
        <v>4133</v>
      </c>
      <c r="AZ33" s="323">
        <v>1</v>
      </c>
      <c r="BA33" s="507">
        <f>(AZ33+AZ34+AZ35+AZ36)/4</f>
        <v>0.78751513043146748</v>
      </c>
      <c r="BB33" s="323">
        <v>1</v>
      </c>
      <c r="BC33" s="342">
        <f>AY33+375</f>
        <v>4508</v>
      </c>
      <c r="BD33" s="343">
        <v>1</v>
      </c>
      <c r="BE33" s="634">
        <f>(BD33+BD34+BD35+BD36)/4</f>
        <v>1</v>
      </c>
      <c r="BF33" s="343">
        <v>1</v>
      </c>
      <c r="BG33" s="398">
        <f>BC33+139</f>
        <v>4647</v>
      </c>
      <c r="BH33" s="379">
        <v>1</v>
      </c>
      <c r="BI33" s="637">
        <f>(BH33+BH34+BH35+BH36)/4</f>
        <v>1</v>
      </c>
      <c r="BJ33" s="379">
        <v>1</v>
      </c>
      <c r="BK33" s="510" t="s">
        <v>33</v>
      </c>
      <c r="BL33" s="602">
        <v>20200130010036</v>
      </c>
      <c r="BM33" s="510" t="s">
        <v>34</v>
      </c>
      <c r="BN33" s="643" t="s">
        <v>116</v>
      </c>
      <c r="BO33" s="47">
        <v>2400</v>
      </c>
      <c r="BP33" s="74">
        <f>341+63</f>
        <v>404</v>
      </c>
      <c r="BQ33" s="66">
        <f t="shared" si="28"/>
        <v>0.16833333333333333</v>
      </c>
      <c r="BR33" s="75">
        <f>BP33+389</f>
        <v>793</v>
      </c>
      <c r="BS33" s="66">
        <f>BR33/R33</f>
        <v>0.33041666666666669</v>
      </c>
      <c r="BT33" s="76">
        <f>BR33+502</f>
        <v>1295</v>
      </c>
      <c r="BU33" s="66">
        <f>BT33/R33</f>
        <v>0.5395833333333333</v>
      </c>
      <c r="BV33" s="76">
        <f>1597+316</f>
        <v>1913</v>
      </c>
      <c r="BW33" s="183">
        <f t="shared" si="29"/>
        <v>0.79708333333333337</v>
      </c>
      <c r="BX33" s="76">
        <f>1597+316+449</f>
        <v>2362</v>
      </c>
      <c r="BY33" s="133">
        <f t="shared" si="16"/>
        <v>0.98416666666666663</v>
      </c>
      <c r="BZ33" s="76">
        <f>2362+485</f>
        <v>2847</v>
      </c>
      <c r="CA33" s="183">
        <v>1</v>
      </c>
      <c r="CB33" s="261">
        <f>BZ33+445+17</f>
        <v>3309</v>
      </c>
      <c r="CC33" s="268">
        <v>1</v>
      </c>
      <c r="CD33" s="261">
        <v>3764</v>
      </c>
      <c r="CE33" s="268">
        <v>1</v>
      </c>
      <c r="CF33" s="311">
        <f>CD33+369</f>
        <v>4133</v>
      </c>
      <c r="CG33" s="312">
        <v>1</v>
      </c>
      <c r="CH33" s="365">
        <f>CF33+375</f>
        <v>4508</v>
      </c>
      <c r="CI33" s="366">
        <v>1</v>
      </c>
      <c r="CJ33" s="398">
        <f>CH33+139</f>
        <v>4647</v>
      </c>
      <c r="CK33" s="383">
        <v>1</v>
      </c>
      <c r="CL33" s="48" t="s">
        <v>160</v>
      </c>
      <c r="CM33" s="48" t="s">
        <v>96</v>
      </c>
      <c r="CN33" s="510" t="s">
        <v>126</v>
      </c>
      <c r="CO33" s="510" t="s">
        <v>127</v>
      </c>
      <c r="CP33" s="510" t="s">
        <v>157</v>
      </c>
      <c r="CQ33" s="597">
        <v>7038713887</v>
      </c>
      <c r="CR33" s="520">
        <v>6971483887</v>
      </c>
      <c r="CS33" s="540">
        <v>2034133620.6700001</v>
      </c>
      <c r="CT33" s="523">
        <f>CS33/CR33</f>
        <v>0.29177914682742495</v>
      </c>
      <c r="CU33" s="537">
        <v>6971483887</v>
      </c>
      <c r="CV33" s="537">
        <v>3377458905</v>
      </c>
      <c r="CW33" s="523">
        <f>CV33/CU33</f>
        <v>0.48446772017906836</v>
      </c>
      <c r="CX33" s="537">
        <v>6971483887</v>
      </c>
      <c r="CY33" s="537">
        <v>3598321683</v>
      </c>
      <c r="CZ33" s="523">
        <f>CY33/CX33</f>
        <v>0.5161486049921068</v>
      </c>
      <c r="DA33" s="531">
        <v>12535061800</v>
      </c>
      <c r="DB33" s="531">
        <v>3812000722</v>
      </c>
      <c r="DC33" s="534">
        <f>DB33/DA33</f>
        <v>0.30410705450211661</v>
      </c>
      <c r="DD33" s="531">
        <v>12535061800</v>
      </c>
      <c r="DE33" s="531">
        <v>3935210804.3499999</v>
      </c>
      <c r="DF33" s="534">
        <f>DE33/DD33</f>
        <v>0.31393629063320611</v>
      </c>
      <c r="DG33" s="531">
        <v>12535061800.08</v>
      </c>
      <c r="DH33" s="531">
        <v>4116946193.3499999</v>
      </c>
      <c r="DI33" s="534">
        <f>DH33/DG33</f>
        <v>0.32843445521135967</v>
      </c>
      <c r="DJ33" s="588">
        <v>12517301800.08</v>
      </c>
      <c r="DK33" s="584">
        <v>4229614805.3499999</v>
      </c>
      <c r="DL33" s="693">
        <f>DK33/DJ33</f>
        <v>0.33790148011953886</v>
      </c>
      <c r="DM33" s="584">
        <v>2445570000</v>
      </c>
      <c r="DN33" s="584">
        <f>+DJ33-DM33</f>
        <v>10071731800.08</v>
      </c>
      <c r="DO33" s="584">
        <v>4901298361.75</v>
      </c>
      <c r="DP33" s="670">
        <f>+DO33/DN33</f>
        <v>0.48663908640925774</v>
      </c>
      <c r="DQ33" s="684">
        <v>10089491800.08</v>
      </c>
      <c r="DR33" s="684">
        <v>9286725048.75</v>
      </c>
      <c r="DS33" s="702">
        <f>DR33/DQ33</f>
        <v>0.92043536312466845</v>
      </c>
      <c r="DT33" s="756">
        <v>10089491800.08</v>
      </c>
      <c r="DU33" s="756">
        <v>9466555488.75</v>
      </c>
      <c r="DV33" s="770">
        <f>DU33/DT33</f>
        <v>0.93825890107517007</v>
      </c>
      <c r="DW33" s="431">
        <v>10089491800.08</v>
      </c>
      <c r="DX33" s="431">
        <v>9655218928.7399998</v>
      </c>
      <c r="DY33" s="437">
        <f>DX33/DW33</f>
        <v>0.95695790432808947</v>
      </c>
      <c r="DZ33" s="678" t="s">
        <v>139</v>
      </c>
      <c r="EA33" s="727" t="s">
        <v>186</v>
      </c>
      <c r="EB33" s="114" t="s">
        <v>227</v>
      </c>
      <c r="EC33" s="176" t="s">
        <v>256</v>
      </c>
      <c r="ED33" s="176" t="s">
        <v>369</v>
      </c>
      <c r="EE33" s="176" t="s">
        <v>368</v>
      </c>
      <c r="EF33" s="176" t="s">
        <v>367</v>
      </c>
      <c r="EG33" s="266" t="s">
        <v>404</v>
      </c>
      <c r="EH33" s="290" t="s">
        <v>426</v>
      </c>
      <c r="EI33" s="300" t="s">
        <v>464</v>
      </c>
      <c r="EJ33" s="362" t="s">
        <v>496</v>
      </c>
      <c r="EK33" s="395" t="s">
        <v>541</v>
      </c>
    </row>
    <row r="34" spans="2:141" s="2" customFormat="1" ht="97.5" customHeight="1" x14ac:dyDescent="0.35">
      <c r="B34" s="511"/>
      <c r="C34" s="511"/>
      <c r="D34" s="511"/>
      <c r="E34" s="510"/>
      <c r="F34" s="510"/>
      <c r="G34" s="516"/>
      <c r="H34" s="604"/>
      <c r="I34" s="514"/>
      <c r="J34" s="514"/>
      <c r="K34" s="628"/>
      <c r="L34" s="635"/>
      <c r="M34" s="638"/>
      <c r="N34" s="511"/>
      <c r="O34" s="45" t="s">
        <v>81</v>
      </c>
      <c r="P34" s="46">
        <v>0</v>
      </c>
      <c r="Q34" s="45" t="s">
        <v>80</v>
      </c>
      <c r="R34" s="47">
        <v>209842.40000000002</v>
      </c>
      <c r="S34" s="47">
        <v>209842</v>
      </c>
      <c r="T34" s="76">
        <f>748+18+4+104+557+58+20+44</f>
        <v>1553</v>
      </c>
      <c r="U34" s="65">
        <f t="shared" si="23"/>
        <v>7.400806320946236E-3</v>
      </c>
      <c r="V34" s="607"/>
      <c r="W34" s="66">
        <f t="shared" si="24"/>
        <v>7.4007922135850513E-3</v>
      </c>
      <c r="X34" s="76">
        <f>T34+1896</f>
        <v>3449</v>
      </c>
      <c r="Y34" s="65">
        <f t="shared" si="25"/>
        <v>1.6436175789403457E-2</v>
      </c>
      <c r="Z34" s="607"/>
      <c r="AA34" s="66">
        <f>X34/R34</f>
        <v>1.6436144458889145E-2</v>
      </c>
      <c r="AB34" s="112">
        <f>X34+3118</f>
        <v>6567</v>
      </c>
      <c r="AC34" s="65">
        <f>AB34/R34</f>
        <v>3.1294914659763702E-2</v>
      </c>
      <c r="AD34" s="607"/>
      <c r="AE34" s="112">
        <f>AB34+1806+1522</f>
        <v>9895</v>
      </c>
      <c r="AF34" s="65">
        <f>AE34/S34</f>
        <v>4.715452578606761E-2</v>
      </c>
      <c r="AG34" s="607"/>
      <c r="AH34" s="182">
        <f t="shared" si="26"/>
        <v>4.7154435900466252E-2</v>
      </c>
      <c r="AI34" s="112">
        <f>8373+1522+2282</f>
        <v>12177</v>
      </c>
      <c r="AJ34" s="182">
        <f>AI34/S34</f>
        <v>5.8029374481752938E-2</v>
      </c>
      <c r="AK34" s="607"/>
      <c r="AL34" s="182">
        <f t="shared" si="27"/>
        <v>5.8029263866597021E-2</v>
      </c>
      <c r="AM34" s="112">
        <f>8373+1522+2282+2671</f>
        <v>14848</v>
      </c>
      <c r="AN34" s="182">
        <f>AM34/S34</f>
        <v>7.0757998875344313E-2</v>
      </c>
      <c r="AO34" s="607"/>
      <c r="AP34" s="182">
        <f>AM34/R34</f>
        <v>7.0757863996980586E-2</v>
      </c>
      <c r="AQ34" s="261">
        <f>AM34+4327</f>
        <v>19175</v>
      </c>
      <c r="AR34" s="262">
        <f>AQ34/S34</f>
        <v>9.1378275083157809E-2</v>
      </c>
      <c r="AS34" s="641"/>
      <c r="AT34" s="262">
        <f>AQ34/R34</f>
        <v>9.1378100898579118E-2</v>
      </c>
      <c r="AU34" s="95">
        <v>26506</v>
      </c>
      <c r="AV34" s="64">
        <f>+AU34/S34</f>
        <v>0.12631408392981386</v>
      </c>
      <c r="AW34" s="600"/>
      <c r="AX34" s="64">
        <f>AU34/R34</f>
        <v>0.12631384315085986</v>
      </c>
      <c r="AY34" s="318">
        <f>AU34+4983</f>
        <v>31489</v>
      </c>
      <c r="AZ34" s="323">
        <f>AY34/S34</f>
        <v>0.15006052172586995</v>
      </c>
      <c r="BA34" s="508"/>
      <c r="BB34" s="323">
        <f>AY34/R34</f>
        <v>0.15006023568163535</v>
      </c>
      <c r="BC34" s="342">
        <f>AY34+5997+200000</f>
        <v>237486</v>
      </c>
      <c r="BD34" s="343">
        <v>1</v>
      </c>
      <c r="BE34" s="635"/>
      <c r="BF34" s="343">
        <v>1</v>
      </c>
      <c r="BG34" s="398">
        <f>BC34+6187</f>
        <v>243673</v>
      </c>
      <c r="BH34" s="379">
        <v>1</v>
      </c>
      <c r="BI34" s="638"/>
      <c r="BJ34" s="379">
        <v>1</v>
      </c>
      <c r="BK34" s="510"/>
      <c r="BL34" s="602"/>
      <c r="BM34" s="510"/>
      <c r="BN34" s="643"/>
      <c r="BO34" s="47">
        <v>209842</v>
      </c>
      <c r="BP34" s="83">
        <v>1553</v>
      </c>
      <c r="BQ34" s="66">
        <f t="shared" si="28"/>
        <v>7.4007922135850513E-3</v>
      </c>
      <c r="BR34" s="76">
        <f>BP34+1896</f>
        <v>3449</v>
      </c>
      <c r="BS34" s="66">
        <f>BR34/R34</f>
        <v>1.6436144458889145E-2</v>
      </c>
      <c r="BT34" s="76">
        <f>BR34+3118</f>
        <v>6567</v>
      </c>
      <c r="BU34" s="66">
        <f>BT34/R34</f>
        <v>3.1294914659763702E-2</v>
      </c>
      <c r="BV34" s="76">
        <f>8373+1522</f>
        <v>9895</v>
      </c>
      <c r="BW34" s="183">
        <f t="shared" si="29"/>
        <v>4.7154435900466252E-2</v>
      </c>
      <c r="BX34" s="76">
        <f>8373+1522+2282</f>
        <v>12177</v>
      </c>
      <c r="BY34" s="133">
        <f t="shared" si="16"/>
        <v>5.8029374481752938E-2</v>
      </c>
      <c r="BZ34" s="76">
        <f>BX34+2671</f>
        <v>14848</v>
      </c>
      <c r="CA34" s="183">
        <f t="shared" si="17"/>
        <v>7.0757998875344313E-2</v>
      </c>
      <c r="CB34" s="261">
        <f>BZ34+4327</f>
        <v>19175</v>
      </c>
      <c r="CC34" s="268">
        <f>CB34/BO34</f>
        <v>9.1378275083157809E-2</v>
      </c>
      <c r="CD34" s="261">
        <v>26506</v>
      </c>
      <c r="CE34" s="268">
        <f>+CD34/BO34</f>
        <v>0.12631408392981386</v>
      </c>
      <c r="CF34" s="311">
        <f>CD34+4983</f>
        <v>31489</v>
      </c>
      <c r="CG34" s="312">
        <f>+CF34/BO34</f>
        <v>0.15006052172586995</v>
      </c>
      <c r="CH34" s="365">
        <f>CF34+5997+200000</f>
        <v>237486</v>
      </c>
      <c r="CI34" s="366">
        <v>1</v>
      </c>
      <c r="CJ34" s="398">
        <f>CH34+6187</f>
        <v>243673</v>
      </c>
      <c r="CK34" s="383">
        <v>1</v>
      </c>
      <c r="CL34" s="48" t="s">
        <v>160</v>
      </c>
      <c r="CM34" s="48" t="s">
        <v>114</v>
      </c>
      <c r="CN34" s="510"/>
      <c r="CO34" s="510"/>
      <c r="CP34" s="510"/>
      <c r="CQ34" s="597"/>
      <c r="CR34" s="521"/>
      <c r="CS34" s="541"/>
      <c r="CT34" s="524"/>
      <c r="CU34" s="538"/>
      <c r="CV34" s="538"/>
      <c r="CW34" s="524"/>
      <c r="CX34" s="538"/>
      <c r="CY34" s="538"/>
      <c r="CZ34" s="524"/>
      <c r="DA34" s="532"/>
      <c r="DB34" s="532"/>
      <c r="DC34" s="535"/>
      <c r="DD34" s="532"/>
      <c r="DE34" s="532"/>
      <c r="DF34" s="535"/>
      <c r="DG34" s="532"/>
      <c r="DH34" s="532"/>
      <c r="DI34" s="535"/>
      <c r="DJ34" s="671"/>
      <c r="DK34" s="671"/>
      <c r="DL34" s="694"/>
      <c r="DM34" s="671"/>
      <c r="DN34" s="671"/>
      <c r="DO34" s="671"/>
      <c r="DP34" s="671"/>
      <c r="DQ34" s="685"/>
      <c r="DR34" s="685"/>
      <c r="DS34" s="731"/>
      <c r="DT34" s="757"/>
      <c r="DU34" s="757"/>
      <c r="DV34" s="771"/>
      <c r="DW34" s="432"/>
      <c r="DX34" s="432"/>
      <c r="DY34" s="438"/>
      <c r="DZ34" s="678"/>
      <c r="EA34" s="727"/>
      <c r="EB34" s="162" t="s">
        <v>228</v>
      </c>
      <c r="EC34" s="177" t="s">
        <v>268</v>
      </c>
      <c r="ED34" s="177" t="s">
        <v>370</v>
      </c>
      <c r="EE34" s="177" t="s">
        <v>353</v>
      </c>
      <c r="EF34" s="177" t="s">
        <v>366</v>
      </c>
      <c r="EG34" s="267" t="s">
        <v>405</v>
      </c>
      <c r="EH34" s="291" t="s">
        <v>427</v>
      </c>
      <c r="EI34" s="301" t="s">
        <v>465</v>
      </c>
      <c r="EJ34" s="363" t="s">
        <v>509</v>
      </c>
      <c r="EK34" s="396" t="s">
        <v>542</v>
      </c>
    </row>
    <row r="35" spans="2:141" s="2" customFormat="1" ht="409.5" x14ac:dyDescent="0.35">
      <c r="B35" s="511"/>
      <c r="C35" s="511"/>
      <c r="D35" s="511"/>
      <c r="E35" s="510"/>
      <c r="F35" s="510"/>
      <c r="G35" s="516"/>
      <c r="H35" s="604"/>
      <c r="I35" s="514"/>
      <c r="J35" s="514"/>
      <c r="K35" s="628"/>
      <c r="L35" s="635"/>
      <c r="M35" s="638"/>
      <c r="N35" s="511"/>
      <c r="O35" s="45" t="s">
        <v>83</v>
      </c>
      <c r="P35" s="46">
        <v>83</v>
      </c>
      <c r="Q35" s="45" t="s">
        <v>82</v>
      </c>
      <c r="R35" s="47">
        <v>110</v>
      </c>
      <c r="S35" s="47">
        <v>92</v>
      </c>
      <c r="T35" s="74">
        <v>55</v>
      </c>
      <c r="U35" s="65">
        <f t="shared" si="23"/>
        <v>0.59782608695652173</v>
      </c>
      <c r="V35" s="607"/>
      <c r="W35" s="66">
        <f t="shared" si="24"/>
        <v>0.5</v>
      </c>
      <c r="X35" s="75">
        <f xml:space="preserve"> 55+16</f>
        <v>71</v>
      </c>
      <c r="Y35" s="65">
        <f t="shared" si="25"/>
        <v>0.77173913043478259</v>
      </c>
      <c r="Z35" s="607"/>
      <c r="AA35" s="66">
        <v>1</v>
      </c>
      <c r="AB35" s="113">
        <f>X35</f>
        <v>71</v>
      </c>
      <c r="AC35" s="65">
        <f>AB35/S35</f>
        <v>0.77173913043478259</v>
      </c>
      <c r="AD35" s="607"/>
      <c r="AE35" s="113">
        <f>AB35+27</f>
        <v>98</v>
      </c>
      <c r="AF35" s="65">
        <v>1</v>
      </c>
      <c r="AG35" s="607"/>
      <c r="AH35" s="182">
        <f t="shared" si="26"/>
        <v>0.89090909090909087</v>
      </c>
      <c r="AI35" s="113">
        <f>AE35+41</f>
        <v>139</v>
      </c>
      <c r="AJ35" s="182">
        <v>1</v>
      </c>
      <c r="AK35" s="607"/>
      <c r="AL35" s="182">
        <v>1</v>
      </c>
      <c r="AM35" s="113">
        <v>139</v>
      </c>
      <c r="AN35" s="182">
        <v>1</v>
      </c>
      <c r="AO35" s="607"/>
      <c r="AP35" s="182">
        <v>1</v>
      </c>
      <c r="AQ35" s="269">
        <f>AM35+6</f>
        <v>145</v>
      </c>
      <c r="AR35" s="262">
        <v>1</v>
      </c>
      <c r="AS35" s="641"/>
      <c r="AT35" s="262">
        <v>1</v>
      </c>
      <c r="AU35" s="73">
        <v>173</v>
      </c>
      <c r="AV35" s="64">
        <v>1</v>
      </c>
      <c r="AW35" s="600"/>
      <c r="AX35" s="64">
        <v>1</v>
      </c>
      <c r="AY35" s="320">
        <v>173</v>
      </c>
      <c r="AZ35" s="323">
        <v>1</v>
      </c>
      <c r="BA35" s="508"/>
      <c r="BB35" s="323">
        <v>1</v>
      </c>
      <c r="BC35" s="344">
        <v>173</v>
      </c>
      <c r="BD35" s="343">
        <v>1</v>
      </c>
      <c r="BE35" s="635"/>
      <c r="BF35" s="343">
        <v>1</v>
      </c>
      <c r="BG35" s="400">
        <v>173</v>
      </c>
      <c r="BH35" s="379">
        <v>1</v>
      </c>
      <c r="BI35" s="638"/>
      <c r="BJ35" s="379">
        <v>1</v>
      </c>
      <c r="BK35" s="510"/>
      <c r="BL35" s="602"/>
      <c r="BM35" s="510"/>
      <c r="BN35" s="643"/>
      <c r="BO35" s="47">
        <v>92</v>
      </c>
      <c r="BP35" s="74">
        <v>55</v>
      </c>
      <c r="BQ35" s="66">
        <f t="shared" si="28"/>
        <v>0.5</v>
      </c>
      <c r="BR35" s="75">
        <f>55+16</f>
        <v>71</v>
      </c>
      <c r="BS35" s="66">
        <f>BR35/BO35</f>
        <v>0.77173913043478259</v>
      </c>
      <c r="BT35" s="75">
        <f>BR35</f>
        <v>71</v>
      </c>
      <c r="BU35" s="66">
        <f>BT35/BO35</f>
        <v>0.77173913043478259</v>
      </c>
      <c r="BV35" s="75">
        <f>71+27</f>
        <v>98</v>
      </c>
      <c r="BW35" s="183">
        <f t="shared" si="29"/>
        <v>0.89090909090909087</v>
      </c>
      <c r="BX35" s="75">
        <f>71+27+41</f>
        <v>139</v>
      </c>
      <c r="BY35" s="133">
        <v>1</v>
      </c>
      <c r="BZ35" s="240">
        <v>139</v>
      </c>
      <c r="CA35" s="183">
        <v>1</v>
      </c>
      <c r="CB35" s="272">
        <f>BZ35+6</f>
        <v>145</v>
      </c>
      <c r="CC35" s="268">
        <v>1</v>
      </c>
      <c r="CD35" s="272">
        <v>173</v>
      </c>
      <c r="CE35" s="268">
        <v>1</v>
      </c>
      <c r="CF35" s="316">
        <v>173</v>
      </c>
      <c r="CG35" s="312">
        <v>1</v>
      </c>
      <c r="CH35" s="365">
        <v>173</v>
      </c>
      <c r="CI35" s="366">
        <v>1</v>
      </c>
      <c r="CJ35" s="398">
        <v>173</v>
      </c>
      <c r="CK35" s="383">
        <v>1</v>
      </c>
      <c r="CL35" s="48" t="s">
        <v>160</v>
      </c>
      <c r="CM35" s="48" t="s">
        <v>114</v>
      </c>
      <c r="CN35" s="510"/>
      <c r="CO35" s="510"/>
      <c r="CP35" s="510"/>
      <c r="CQ35" s="597"/>
      <c r="CR35" s="521"/>
      <c r="CS35" s="541"/>
      <c r="CT35" s="524"/>
      <c r="CU35" s="538"/>
      <c r="CV35" s="538"/>
      <c r="CW35" s="524"/>
      <c r="CX35" s="538"/>
      <c r="CY35" s="538"/>
      <c r="CZ35" s="524"/>
      <c r="DA35" s="532"/>
      <c r="DB35" s="532"/>
      <c r="DC35" s="535"/>
      <c r="DD35" s="532"/>
      <c r="DE35" s="532"/>
      <c r="DF35" s="535"/>
      <c r="DG35" s="532"/>
      <c r="DH35" s="532"/>
      <c r="DI35" s="535"/>
      <c r="DJ35" s="671"/>
      <c r="DK35" s="671"/>
      <c r="DL35" s="694"/>
      <c r="DM35" s="671"/>
      <c r="DN35" s="671"/>
      <c r="DO35" s="671"/>
      <c r="DP35" s="671"/>
      <c r="DQ35" s="685"/>
      <c r="DR35" s="685"/>
      <c r="DS35" s="731"/>
      <c r="DT35" s="757"/>
      <c r="DU35" s="757"/>
      <c r="DV35" s="771"/>
      <c r="DW35" s="432"/>
      <c r="DX35" s="432"/>
      <c r="DY35" s="438"/>
      <c r="DZ35" s="678"/>
      <c r="EA35" s="727"/>
      <c r="EB35" s="115" t="s">
        <v>229</v>
      </c>
      <c r="EC35" s="177" t="s">
        <v>270</v>
      </c>
      <c r="ED35" s="111" t="s">
        <v>299</v>
      </c>
      <c r="EE35" s="177" t="s">
        <v>327</v>
      </c>
      <c r="EF35" s="177" t="s">
        <v>364</v>
      </c>
      <c r="EG35" s="267" t="s">
        <v>385</v>
      </c>
      <c r="EH35" s="291" t="s">
        <v>429</v>
      </c>
      <c r="EI35" s="301" t="s">
        <v>471</v>
      </c>
      <c r="EJ35" s="363" t="s">
        <v>505</v>
      </c>
      <c r="EK35" s="396" t="s">
        <v>540</v>
      </c>
    </row>
    <row r="36" spans="2:141" s="2" customFormat="1" ht="117" customHeight="1" thickBot="1" x14ac:dyDescent="0.4">
      <c r="B36" s="511"/>
      <c r="C36" s="511"/>
      <c r="D36" s="511"/>
      <c r="E36" s="510"/>
      <c r="F36" s="510"/>
      <c r="G36" s="517"/>
      <c r="H36" s="605"/>
      <c r="I36" s="457"/>
      <c r="J36" s="457"/>
      <c r="K36" s="629"/>
      <c r="L36" s="636"/>
      <c r="M36" s="639"/>
      <c r="N36" s="511"/>
      <c r="O36" s="45" t="s">
        <v>85</v>
      </c>
      <c r="P36" s="46">
        <v>9</v>
      </c>
      <c r="Q36" s="45" t="s">
        <v>84</v>
      </c>
      <c r="R36" s="47">
        <v>10</v>
      </c>
      <c r="S36" s="47">
        <v>3</v>
      </c>
      <c r="T36" s="74">
        <v>0</v>
      </c>
      <c r="U36" s="65">
        <f t="shared" si="23"/>
        <v>0</v>
      </c>
      <c r="V36" s="607"/>
      <c r="W36" s="66">
        <f t="shared" si="24"/>
        <v>0</v>
      </c>
      <c r="X36" s="74">
        <v>0</v>
      </c>
      <c r="Y36" s="65">
        <f t="shared" si="25"/>
        <v>0</v>
      </c>
      <c r="Z36" s="607"/>
      <c r="AA36" s="66">
        <f>X36/R36</f>
        <v>0</v>
      </c>
      <c r="AB36" s="113">
        <v>0</v>
      </c>
      <c r="AC36" s="65">
        <f>AB36/S36</f>
        <v>0</v>
      </c>
      <c r="AD36" s="607"/>
      <c r="AE36" s="113">
        <v>0</v>
      </c>
      <c r="AF36" s="65">
        <f>AE36/S36</f>
        <v>0</v>
      </c>
      <c r="AG36" s="607"/>
      <c r="AH36" s="182">
        <f t="shared" si="26"/>
        <v>0</v>
      </c>
      <c r="AI36" s="113">
        <v>0</v>
      </c>
      <c r="AJ36" s="182">
        <f>AI36/S36</f>
        <v>0</v>
      </c>
      <c r="AK36" s="607"/>
      <c r="AL36" s="66">
        <f t="shared" si="27"/>
        <v>0</v>
      </c>
      <c r="AM36" s="113">
        <v>0</v>
      </c>
      <c r="AN36" s="182">
        <f>AM36/R36</f>
        <v>0</v>
      </c>
      <c r="AO36" s="607"/>
      <c r="AP36" s="66">
        <f>AM36/R36</f>
        <v>0</v>
      </c>
      <c r="AQ36" s="269">
        <v>0</v>
      </c>
      <c r="AR36" s="262">
        <f>AQ36/S36</f>
        <v>0</v>
      </c>
      <c r="AS36" s="641"/>
      <c r="AT36" s="262">
        <f>AQ36/R36</f>
        <v>0</v>
      </c>
      <c r="AU36" s="73">
        <v>0</v>
      </c>
      <c r="AV36" s="64">
        <v>0</v>
      </c>
      <c r="AW36" s="600"/>
      <c r="AX36" s="64">
        <f>AU36/R36</f>
        <v>0</v>
      </c>
      <c r="AY36" s="320">
        <v>3</v>
      </c>
      <c r="AZ36" s="323">
        <f>AY36/S36</f>
        <v>1</v>
      </c>
      <c r="BA36" s="508"/>
      <c r="BB36" s="323">
        <f>AY36/R36</f>
        <v>0.3</v>
      </c>
      <c r="BC36" s="344">
        <v>3</v>
      </c>
      <c r="BD36" s="343">
        <f>BC36/S36</f>
        <v>1</v>
      </c>
      <c r="BE36" s="635"/>
      <c r="BF36" s="343">
        <f>BC36/R36</f>
        <v>0.3</v>
      </c>
      <c r="BG36" s="400">
        <v>3</v>
      </c>
      <c r="BH36" s="379">
        <f>BG36/S36</f>
        <v>1</v>
      </c>
      <c r="BI36" s="638"/>
      <c r="BJ36" s="379">
        <f>BG36/R36</f>
        <v>0.3</v>
      </c>
      <c r="BK36" s="510"/>
      <c r="BL36" s="602"/>
      <c r="BM36" s="510"/>
      <c r="BN36" s="643"/>
      <c r="BO36" s="47">
        <v>3</v>
      </c>
      <c r="BP36" s="74">
        <v>0</v>
      </c>
      <c r="BQ36" s="66">
        <f t="shared" si="28"/>
        <v>0</v>
      </c>
      <c r="BR36" s="74">
        <v>0</v>
      </c>
      <c r="BS36" s="66">
        <f>BR36/R36</f>
        <v>0</v>
      </c>
      <c r="BT36" s="109">
        <v>0</v>
      </c>
      <c r="BU36" s="66">
        <f>BT36/R36</f>
        <v>0</v>
      </c>
      <c r="BV36" s="109">
        <v>0</v>
      </c>
      <c r="BW36" s="183">
        <f t="shared" si="29"/>
        <v>0</v>
      </c>
      <c r="BX36" s="109">
        <v>0</v>
      </c>
      <c r="BY36" s="133">
        <f t="shared" si="16"/>
        <v>0</v>
      </c>
      <c r="BZ36" s="240">
        <v>0</v>
      </c>
      <c r="CA36" s="241">
        <v>0</v>
      </c>
      <c r="CB36" s="272">
        <v>0</v>
      </c>
      <c r="CC36" s="274">
        <f>CB36/BO36</f>
        <v>0</v>
      </c>
      <c r="CD36" s="272">
        <v>0</v>
      </c>
      <c r="CE36" s="268">
        <f>+CD36/BO36</f>
        <v>0</v>
      </c>
      <c r="CF36" s="316">
        <v>3</v>
      </c>
      <c r="CG36" s="312">
        <f>+CF36/BO36</f>
        <v>1</v>
      </c>
      <c r="CH36" s="365">
        <v>3</v>
      </c>
      <c r="CI36" s="366">
        <f>CH36/BO36</f>
        <v>1</v>
      </c>
      <c r="CJ36" s="398">
        <v>3</v>
      </c>
      <c r="CK36" s="386">
        <v>1</v>
      </c>
      <c r="CL36" s="48" t="s">
        <v>160</v>
      </c>
      <c r="CM36" s="48" t="s">
        <v>114</v>
      </c>
      <c r="CN36" s="510"/>
      <c r="CO36" s="510"/>
      <c r="CP36" s="510"/>
      <c r="CQ36" s="597"/>
      <c r="CR36" s="522"/>
      <c r="CS36" s="542"/>
      <c r="CT36" s="524"/>
      <c r="CU36" s="539"/>
      <c r="CV36" s="539"/>
      <c r="CW36" s="524"/>
      <c r="CX36" s="539"/>
      <c r="CY36" s="539"/>
      <c r="CZ36" s="524"/>
      <c r="DA36" s="533"/>
      <c r="DB36" s="533"/>
      <c r="DC36" s="535"/>
      <c r="DD36" s="533"/>
      <c r="DE36" s="533"/>
      <c r="DF36" s="535"/>
      <c r="DG36" s="533"/>
      <c r="DH36" s="533"/>
      <c r="DI36" s="535"/>
      <c r="DJ36" s="672"/>
      <c r="DK36" s="672"/>
      <c r="DL36" s="694"/>
      <c r="DM36" s="672"/>
      <c r="DN36" s="672"/>
      <c r="DO36" s="672"/>
      <c r="DP36" s="672"/>
      <c r="DQ36" s="686"/>
      <c r="DR36" s="686"/>
      <c r="DS36" s="732"/>
      <c r="DT36" s="758"/>
      <c r="DU36" s="758"/>
      <c r="DV36" s="772"/>
      <c r="DW36" s="737"/>
      <c r="DX36" s="737"/>
      <c r="DY36" s="738"/>
      <c r="DZ36" s="678"/>
      <c r="EA36" s="727"/>
      <c r="EB36" s="175" t="s">
        <v>230</v>
      </c>
      <c r="EC36" s="111" t="s">
        <v>230</v>
      </c>
      <c r="ED36" s="177" t="s">
        <v>298</v>
      </c>
      <c r="EE36" s="177" t="s">
        <v>328</v>
      </c>
      <c r="EF36" s="177" t="s">
        <v>365</v>
      </c>
      <c r="EG36" s="267" t="s">
        <v>386</v>
      </c>
      <c r="EH36" s="291" t="s">
        <v>428</v>
      </c>
      <c r="EI36" s="301" t="s">
        <v>474</v>
      </c>
      <c r="EJ36" s="363" t="s">
        <v>504</v>
      </c>
      <c r="EK36" s="419" t="s">
        <v>539</v>
      </c>
    </row>
    <row r="37" spans="2:141" ht="320.25" customHeight="1" thickBot="1" x14ac:dyDescent="0.4">
      <c r="C37" s="375"/>
      <c r="D37" s="375"/>
      <c r="E37" s="375"/>
      <c r="F37" s="375"/>
      <c r="U37" s="205" t="s">
        <v>192</v>
      </c>
      <c r="V37" s="206">
        <f>+AVERAGE(V6:V36)</f>
        <v>0.1328428620156005</v>
      </c>
      <c r="W37" s="77"/>
      <c r="Y37" s="107" t="s">
        <v>254</v>
      </c>
      <c r="Z37" s="108">
        <f>(SUM(Z6:Z36)/7)</f>
        <v>0.2207617512002982</v>
      </c>
      <c r="AA37" s="77"/>
      <c r="AC37" s="201" t="s">
        <v>253</v>
      </c>
      <c r="AD37" s="202">
        <f>(SUM(AD6:AD36)/7)</f>
        <v>0.242695242215582</v>
      </c>
      <c r="AF37" s="203" t="s">
        <v>289</v>
      </c>
      <c r="AG37" s="204">
        <f>(SUM(AG6:AG36)/7)</f>
        <v>0.32581369924949533</v>
      </c>
      <c r="AH37" s="77"/>
      <c r="AJ37" s="199" t="s">
        <v>309</v>
      </c>
      <c r="AK37" s="200">
        <f>(SUM(AK6:AK36)/7)</f>
        <v>0.3454905733285854</v>
      </c>
      <c r="AL37" s="77"/>
      <c r="AN37" s="107" t="s">
        <v>342</v>
      </c>
      <c r="AO37" s="108">
        <f>(SUM(AO6:AO36)/7)</f>
        <v>0.3817329648159572</v>
      </c>
      <c r="AP37" s="77"/>
      <c r="AR37" s="248" t="s">
        <v>382</v>
      </c>
      <c r="AS37" s="249">
        <f>(SUM(AS6:AS36)/7)</f>
        <v>0.46260097508351844</v>
      </c>
      <c r="AT37" s="77"/>
      <c r="AV37" s="248" t="s">
        <v>437</v>
      </c>
      <c r="AW37" s="249">
        <f>(SUM(AW6:AW36)/7)</f>
        <v>0.52275542846323686</v>
      </c>
      <c r="AX37" s="77"/>
      <c r="AZ37" s="325" t="s">
        <v>476</v>
      </c>
      <c r="BA37" s="326">
        <f>(SUM(BA6:BA36)/7)</f>
        <v>0.67280115036828303</v>
      </c>
      <c r="BB37" s="77"/>
      <c r="BC37" s="4"/>
      <c r="BD37" s="340" t="s">
        <v>488</v>
      </c>
      <c r="BE37" s="341">
        <f>(SUM(BE6:BE36)/7)</f>
        <v>0.75501744935668458</v>
      </c>
      <c r="BF37" s="370"/>
      <c r="BG37" s="370"/>
      <c r="BH37" s="397" t="s">
        <v>519</v>
      </c>
      <c r="BI37" s="391">
        <f>(SUM(BI6:BI36)/7)</f>
        <v>0.82912502389508724</v>
      </c>
      <c r="BP37" s="193" t="s">
        <v>197</v>
      </c>
      <c r="BQ37" s="194">
        <f>(SUM(BQ6:BQ36)/31)</f>
        <v>8.0161850374126584E-2</v>
      </c>
      <c r="BR37" s="105" t="s">
        <v>330</v>
      </c>
      <c r="BS37" s="106">
        <f>(SUM(BS6:BS36)/31)</f>
        <v>0.14078947136624864</v>
      </c>
      <c r="BT37" s="195" t="s">
        <v>255</v>
      </c>
      <c r="BU37" s="196">
        <f>(SUM(BU6:BU36)/31)</f>
        <v>0.16062065727427643</v>
      </c>
      <c r="BV37" s="197" t="s">
        <v>282</v>
      </c>
      <c r="BW37" s="106">
        <f>(SUM(BW6:BW36)/31)</f>
        <v>0.21754013725939797</v>
      </c>
      <c r="BX37" s="198" t="s">
        <v>331</v>
      </c>
      <c r="BY37" s="221">
        <f>(SUM(BY6:BY36)/31)</f>
        <v>0.42728008723958233</v>
      </c>
      <c r="BZ37" s="222" t="s">
        <v>334</v>
      </c>
      <c r="CA37" s="196">
        <f>(SUM(CA6:CA36)/31)</f>
        <v>0.46231728645002029</v>
      </c>
      <c r="CB37" s="250" t="s">
        <v>380</v>
      </c>
      <c r="CC37" s="279">
        <f>(SUM(CC6:CC36)/31)</f>
        <v>0.51737038798183932</v>
      </c>
      <c r="CD37" s="250" t="s">
        <v>436</v>
      </c>
      <c r="CE37" s="279">
        <f>(SUM(CE6:CE36)/31)</f>
        <v>0.57817908616218361</v>
      </c>
      <c r="CF37" s="321" t="s">
        <v>448</v>
      </c>
      <c r="CG37" s="322">
        <f>(SUM(CG6:CG36)/31)</f>
        <v>0.71617124317224257</v>
      </c>
      <c r="CH37" s="352" t="s">
        <v>487</v>
      </c>
      <c r="CI37" s="384">
        <f>(SUM(CI6:CI36)/31)</f>
        <v>0.79054978277326748</v>
      </c>
      <c r="CJ37" s="385" t="s">
        <v>520</v>
      </c>
      <c r="CK37" s="387">
        <f>(SUM(CK6:CK36)/31)</f>
        <v>0.83037337635938779</v>
      </c>
      <c r="CN37" s="429"/>
      <c r="CQ37" s="207">
        <f>SUM(CQ6:CQ36)</f>
        <v>26762792757</v>
      </c>
      <c r="CR37" s="82">
        <f>SUM(CR6:CR36)</f>
        <v>26762792757</v>
      </c>
      <c r="CS37" s="96">
        <f>SUM(CS6:CS36)</f>
        <v>7712064380.6700001</v>
      </c>
      <c r="CT37" s="191">
        <f>CS37/CR37</f>
        <v>0.28816366254051923</v>
      </c>
      <c r="CU37" s="82">
        <f>SUM(CU6:CU36)</f>
        <v>26762792757</v>
      </c>
      <c r="CV37" s="82">
        <f>SUM(CV6:CV36)</f>
        <v>9251685665</v>
      </c>
      <c r="CW37" s="104">
        <f>CV37/CU37</f>
        <v>0.34569208636046234</v>
      </c>
      <c r="CX37" s="153">
        <f>SUM(CX6:CX36)</f>
        <v>26762792757</v>
      </c>
      <c r="CY37" s="153">
        <f>SUM(CY6:CY36)</f>
        <v>9472548443</v>
      </c>
      <c r="CZ37" s="185">
        <f>CY37/CX37</f>
        <v>0.35394469213316265</v>
      </c>
      <c r="DA37" s="154">
        <f>SUM(DA6:DA36)</f>
        <v>33926243231</v>
      </c>
      <c r="DB37" s="153">
        <f>SUM(DB6:DB36)</f>
        <v>9941294808</v>
      </c>
      <c r="DC37" s="187">
        <f>DB37/DA37</f>
        <v>0.2930266914704005</v>
      </c>
      <c r="DD37" s="207">
        <f>SUM(DD6:DD36)</f>
        <v>33926243231.48</v>
      </c>
      <c r="DE37" s="208">
        <f>SUM(DE6:DE36)</f>
        <v>11087534606.35</v>
      </c>
      <c r="DF37" s="189">
        <f>+DE37/DD37</f>
        <v>0.3268129197417865</v>
      </c>
      <c r="DG37" s="207">
        <f>SUM(DG6:DG36)</f>
        <v>33998693231.360001</v>
      </c>
      <c r="DH37" s="208">
        <f>SUM(DH6:DH36)</f>
        <v>11339138250.238831</v>
      </c>
      <c r="DI37" s="226">
        <f>+DH37/DG37</f>
        <v>0.33351688469543123</v>
      </c>
      <c r="DJ37" s="207">
        <f>SUM(DJ6:DJ36)</f>
        <v>33805570948.360001</v>
      </c>
      <c r="DK37" s="208">
        <f>SUM(DK6:DK36)</f>
        <v>12181723455.230001</v>
      </c>
      <c r="DL37" s="253">
        <f>+DK37/DJ37</f>
        <v>0.36034662670949413</v>
      </c>
      <c r="DM37" s="207">
        <f>SUM(DM6:DM36)</f>
        <v>11736393400</v>
      </c>
      <c r="DN37" s="207">
        <f>SUM(DN6:DN36)</f>
        <v>22069177548.360001</v>
      </c>
      <c r="DO37" s="208">
        <f>SUM(DO6:DO36)</f>
        <v>13676452060.630001</v>
      </c>
      <c r="DP37" s="284">
        <f>+DO37/DN37</f>
        <v>0.61970828005080425</v>
      </c>
      <c r="DQ37" s="207">
        <f>SUM(DQ6:DQ36)</f>
        <v>22335884114.360001</v>
      </c>
      <c r="DR37" s="208">
        <f>SUM(DR6:DR36)</f>
        <v>18338221213.300003</v>
      </c>
      <c r="DS37" s="350">
        <f>+DR37/DQ37</f>
        <v>0.82102061057480802</v>
      </c>
      <c r="DT37" s="353">
        <f>SUM(DT6:DT36)</f>
        <v>22335884114.360001</v>
      </c>
      <c r="DU37" s="354">
        <f>SUM(DU6:DU36)</f>
        <v>18544254949.370003</v>
      </c>
      <c r="DV37" s="341">
        <f>DU37/DT37</f>
        <v>0.83024494819292538</v>
      </c>
      <c r="DW37" s="426">
        <f>SUM(DW6:DW36)</f>
        <v>22335884114.360001</v>
      </c>
      <c r="DX37" s="427">
        <f>SUM(DX6:DX36)</f>
        <v>18762450354.360001</v>
      </c>
      <c r="DY37" s="391">
        <f>DX37/DW37</f>
        <v>0.84001377596230464</v>
      </c>
      <c r="DZ37" s="430"/>
    </row>
    <row r="38" spans="2:141" s="3" customFormat="1" ht="144" customHeight="1" thickBot="1" x14ac:dyDescent="0.4">
      <c r="C38" s="376"/>
      <c r="F38" s="596"/>
      <c r="G38" s="596"/>
      <c r="H38" s="228"/>
      <c r="I38" s="245"/>
      <c r="J38" s="288"/>
      <c r="K38" s="302"/>
      <c r="L38" s="337"/>
      <c r="M38" s="378"/>
      <c r="N38" s="211"/>
      <c r="O38" s="211"/>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292"/>
      <c r="AX38" s="4"/>
      <c r="AY38" s="4"/>
      <c r="AZ38" s="4"/>
      <c r="BA38" s="4"/>
      <c r="BB38" s="4"/>
      <c r="BC38" s="4"/>
      <c r="BD38" s="4"/>
      <c r="BE38" s="4"/>
      <c r="BF38" s="4"/>
      <c r="BG38" s="4"/>
      <c r="BH38" s="4"/>
      <c r="BI38" s="4"/>
      <c r="BJ38" s="4"/>
      <c r="BN38" s="6"/>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Q38" s="4"/>
      <c r="CR38" s="4"/>
      <c r="CS38" s="4"/>
      <c r="CT38" s="192" t="s">
        <v>195</v>
      </c>
      <c r="CU38" s="4"/>
      <c r="CV38" s="4"/>
      <c r="CW38" s="152" t="s">
        <v>207</v>
      </c>
      <c r="CX38" s="4"/>
      <c r="CY38" s="4"/>
      <c r="CZ38" s="186" t="s">
        <v>249</v>
      </c>
      <c r="DA38" s="117"/>
      <c r="DB38" s="117"/>
      <c r="DC38" s="188" t="s">
        <v>283</v>
      </c>
      <c r="DD38" s="151"/>
      <c r="DE38" s="151"/>
      <c r="DF38" s="190" t="s">
        <v>310</v>
      </c>
      <c r="DG38" s="151"/>
      <c r="DH38" s="151"/>
      <c r="DI38" s="227" t="s">
        <v>336</v>
      </c>
      <c r="DJ38" s="151"/>
      <c r="DK38" s="151"/>
      <c r="DL38" s="254" t="s">
        <v>381</v>
      </c>
      <c r="DM38" s="151"/>
      <c r="DN38" s="151"/>
      <c r="DO38" s="151"/>
      <c r="DP38" s="151"/>
      <c r="DQ38" s="151"/>
      <c r="DR38" s="151"/>
      <c r="DS38" s="151"/>
      <c r="DT38" s="377" t="s">
        <v>506</v>
      </c>
      <c r="DU38" s="151"/>
      <c r="DV38" s="151"/>
      <c r="DW38" s="428" t="s">
        <v>506</v>
      </c>
      <c r="DX38" s="151"/>
      <c r="DY38" s="151"/>
      <c r="DZ38" s="4"/>
      <c r="EA38" s="4"/>
      <c r="EB38" s="4"/>
      <c r="EC38" s="4"/>
      <c r="ED38" s="4"/>
      <c r="EE38" s="4"/>
      <c r="EF38" s="4"/>
      <c r="EG38" s="4"/>
      <c r="EH38" s="4"/>
      <c r="EI38" s="4"/>
      <c r="EJ38" s="4"/>
      <c r="EK38" s="4"/>
    </row>
    <row r="39" spans="2:141" s="3" customFormat="1" x14ac:dyDescent="0.35">
      <c r="F39" s="613"/>
      <c r="G39" s="229"/>
      <c r="H39" s="229"/>
      <c r="I39" s="229"/>
      <c r="J39" s="229"/>
      <c r="K39" s="229"/>
      <c r="L39" s="229"/>
      <c r="M39" s="229"/>
      <c r="N39" s="213"/>
      <c r="O39" s="212"/>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N39" s="6"/>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row>
    <row r="40" spans="2:141" s="3" customFormat="1" ht="23.25" customHeight="1" x14ac:dyDescent="0.35">
      <c r="F40" s="613"/>
      <c r="G40" s="230"/>
      <c r="H40" s="230"/>
      <c r="I40" s="230"/>
      <c r="J40" s="230"/>
      <c r="K40" s="230"/>
      <c r="L40" s="230"/>
      <c r="M40" s="230"/>
      <c r="N40" s="212"/>
      <c r="O40" s="212"/>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N40" s="6"/>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row>
    <row r="41" spans="2:141" s="3" customFormat="1" ht="23.25" customHeight="1" x14ac:dyDescent="0.35">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N41" s="6"/>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row>
    <row r="42" spans="2:141" s="3" customFormat="1" x14ac:dyDescent="0.35">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N42" s="6"/>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Q42" s="4"/>
      <c r="CR42" s="78"/>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4"/>
      <c r="EA42" s="4"/>
      <c r="EB42" s="4"/>
      <c r="EC42" s="4"/>
      <c r="ED42" s="4"/>
      <c r="EE42" s="4"/>
      <c r="EF42" s="4"/>
      <c r="EG42" s="4"/>
      <c r="EH42" s="4"/>
      <c r="EI42" s="4"/>
      <c r="EJ42" s="4"/>
      <c r="EK42" s="4"/>
    </row>
    <row r="43" spans="2:141" s="3" customFormat="1" ht="101.25" customHeight="1" x14ac:dyDescent="0.35">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N43" s="6"/>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Q43" s="4"/>
      <c r="CR43" s="79"/>
      <c r="CS43" s="80"/>
      <c r="CT43" s="80"/>
      <c r="CU43" s="80"/>
      <c r="CV43" s="80"/>
      <c r="CW43" s="80"/>
      <c r="CX43" s="80"/>
      <c r="CY43" s="80"/>
      <c r="CZ43" s="80"/>
      <c r="DA43" s="80"/>
      <c r="DB43" s="80"/>
      <c r="DC43" s="80"/>
      <c r="DD43" s="80"/>
      <c r="DE43" s="209"/>
      <c r="DF43" s="80"/>
      <c r="DG43" s="243"/>
      <c r="DH43" s="80"/>
      <c r="DI43" s="80"/>
      <c r="DJ43" s="80"/>
      <c r="DK43" s="80"/>
      <c r="DL43" s="80"/>
      <c r="DM43" s="80"/>
      <c r="DN43" s="80"/>
      <c r="DO43" s="80"/>
      <c r="DP43" s="80"/>
      <c r="DQ43" s="80"/>
      <c r="DR43" s="80"/>
      <c r="DS43" s="80"/>
      <c r="DT43" s="80"/>
      <c r="DU43" s="80"/>
      <c r="DV43" s="80"/>
      <c r="DW43" s="80"/>
      <c r="DX43" s="80"/>
      <c r="DY43" s="80"/>
      <c r="DZ43" s="4"/>
      <c r="EA43" s="4"/>
      <c r="EB43" s="4"/>
      <c r="EC43" s="4"/>
      <c r="ED43" s="4"/>
      <c r="EE43" s="4"/>
      <c r="EF43" s="4"/>
      <c r="EG43" s="4"/>
      <c r="EH43" s="4"/>
      <c r="EI43" s="4"/>
      <c r="EJ43" s="4"/>
      <c r="EK43" s="4"/>
    </row>
    <row r="44" spans="2:141" s="3" customFormat="1" x14ac:dyDescent="0.35">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N44" s="6"/>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row>
    <row r="45" spans="2:141" s="3" customFormat="1" x14ac:dyDescent="0.35">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N45" s="6"/>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row>
    <row r="46" spans="2:141" s="3" customFormat="1" x14ac:dyDescent="0.35">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N46" s="6"/>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row>
    <row r="47" spans="2:141" s="3" customFormat="1" x14ac:dyDescent="0.35">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N47" s="6"/>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row>
    <row r="48" spans="2:141" s="3" customFormat="1" x14ac:dyDescent="0.35">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N48" s="6"/>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row>
    <row r="49" spans="18:141" s="3" customFormat="1" ht="23.25" customHeight="1" x14ac:dyDescent="0.35">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N49" s="6"/>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row>
    <row r="50" spans="18:141" s="3" customFormat="1" ht="23.25" customHeight="1" x14ac:dyDescent="0.35">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N50" s="6"/>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row>
    <row r="51" spans="18:141" s="3" customFormat="1" x14ac:dyDescent="0.35">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N51" s="6"/>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row>
    <row r="52" spans="18:141" s="3" customFormat="1" ht="23.25" customHeight="1" x14ac:dyDescent="0.35">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N52" s="6"/>
      <c r="BO52" s="4"/>
      <c r="BP52" s="4"/>
      <c r="BQ52" s="4"/>
      <c r="BR52" s="4"/>
      <c r="BS52" s="4"/>
      <c r="BT52" s="4"/>
      <c r="BU52" s="4"/>
      <c r="BV52" s="4"/>
      <c r="BW52" s="4"/>
      <c r="BX52" s="4"/>
      <c r="BY52" s="4"/>
      <c r="BZ52" s="4"/>
      <c r="CA52" s="4"/>
      <c r="CB52" s="4"/>
      <c r="CC52" s="4"/>
      <c r="CD52" s="4"/>
      <c r="CE52" s="4"/>
      <c r="CF52" s="4"/>
      <c r="CG52" s="4"/>
      <c r="CH52" s="4"/>
      <c r="CI52" s="4"/>
      <c r="CJ52" s="4"/>
      <c r="CK52" s="4"/>
      <c r="CQ52" s="4"/>
      <c r="CR52" s="4"/>
      <c r="CS52" s="4"/>
      <c r="CT52" s="4"/>
      <c r="CU52" s="4"/>
      <c r="CV52" s="4"/>
      <c r="CW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row>
    <row r="53" spans="18:141" s="3" customFormat="1" ht="23.25" customHeight="1" x14ac:dyDescent="0.35">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N53" s="6"/>
      <c r="BO53" s="4"/>
      <c r="BP53" s="4"/>
      <c r="BQ53" s="4"/>
      <c r="BR53" s="4"/>
      <c r="BS53" s="4"/>
      <c r="BT53" s="4"/>
      <c r="BU53" s="4"/>
      <c r="BV53" s="4"/>
      <c r="BW53" s="4"/>
      <c r="BX53" s="4"/>
      <c r="BY53" s="4"/>
      <c r="BZ53" s="4"/>
      <c r="CA53" s="4"/>
      <c r="CB53" s="4"/>
      <c r="CC53" s="4"/>
      <c r="CD53" s="4"/>
      <c r="CE53" s="4"/>
      <c r="CF53" s="4"/>
      <c r="CG53" s="4"/>
      <c r="CH53" s="4"/>
      <c r="CI53" s="4"/>
      <c r="CJ53" s="4"/>
      <c r="CK53" s="4"/>
      <c r="CQ53" s="4"/>
      <c r="CR53" s="4"/>
      <c r="CS53" s="4"/>
      <c r="CT53" s="4"/>
      <c r="CU53" s="4"/>
      <c r="CV53" s="4"/>
      <c r="CW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row>
    <row r="54" spans="18:141" s="3" customFormat="1" x14ac:dyDescent="0.35">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N54" s="6"/>
      <c r="BO54" s="4"/>
      <c r="BP54" s="4"/>
      <c r="BQ54" s="4"/>
      <c r="BR54" s="4"/>
      <c r="BS54" s="4"/>
      <c r="BT54" s="4"/>
      <c r="BU54" s="4"/>
      <c r="BV54" s="4"/>
      <c r="BW54" s="4"/>
      <c r="BX54" s="4"/>
      <c r="BY54" s="4"/>
      <c r="BZ54" s="4"/>
      <c r="CA54" s="4"/>
      <c r="CB54" s="4"/>
      <c r="CC54" s="4"/>
      <c r="CD54" s="4"/>
      <c r="CE54" s="4"/>
      <c r="CF54" s="4"/>
      <c r="CG54" s="4"/>
      <c r="CH54" s="4"/>
      <c r="CI54" s="4"/>
      <c r="CJ54" s="4"/>
      <c r="CK54" s="4"/>
      <c r="CQ54" s="4"/>
      <c r="CR54" s="4"/>
      <c r="CS54" s="4"/>
      <c r="CT54" s="4"/>
      <c r="CU54" s="4"/>
      <c r="CV54" s="4"/>
      <c r="CW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row>
    <row r="66" spans="102:102" ht="88.5" x14ac:dyDescent="1.1000000000000001">
      <c r="CX66" s="118"/>
    </row>
  </sheetData>
  <sheetProtection algorithmName="SHA-512" hashValue="8oajdcQVJTJu+SRNSp2HpzE/NeO+3xLb9Qvh/LMQJFtfyRRORqGXBaOod4OTfdX2GaekHkIOTcNlGKzm7RSaiA==" saltValue="EnQj8pirogeazSehw9q/hw==" spinCount="100000" sheet="1" objects="1" scenarios="1"/>
  <autoFilter ref="A5:EI38"/>
  <mergeCells count="626">
    <mergeCell ref="DV9:DV12"/>
    <mergeCell ref="DT17:DT19"/>
    <mergeCell ref="DU17:DU19"/>
    <mergeCell ref="DV17:DV19"/>
    <mergeCell ref="DT26:DT28"/>
    <mergeCell ref="AV20:AV23"/>
    <mergeCell ref="CQ9:CQ12"/>
    <mergeCell ref="CT9:CT12"/>
    <mergeCell ref="CR9:CR12"/>
    <mergeCell ref="CS9:CS12"/>
    <mergeCell ref="AW9:AW12"/>
    <mergeCell ref="AW13:AW14"/>
    <mergeCell ref="BJ20:BJ23"/>
    <mergeCell ref="CR13:CR14"/>
    <mergeCell ref="CS13:CS14"/>
    <mergeCell ref="BD15:BD17"/>
    <mergeCell ref="BD20:BD23"/>
    <mergeCell ref="DG13:DG14"/>
    <mergeCell ref="DG17:DG19"/>
    <mergeCell ref="DG23:DG25"/>
    <mergeCell ref="DF20:DF25"/>
    <mergeCell ref="CV9:CV12"/>
    <mergeCell ref="CX9:CX12"/>
    <mergeCell ref="DI13:DI14"/>
    <mergeCell ref="EF6:EF7"/>
    <mergeCell ref="EF17:EF19"/>
    <mergeCell ref="EF23:EF25"/>
    <mergeCell ref="EF26:EF28"/>
    <mergeCell ref="EF29:EF30"/>
    <mergeCell ref="DU6:DU7"/>
    <mergeCell ref="DV6:DV7"/>
    <mergeCell ref="DU26:DU28"/>
    <mergeCell ref="DV26:DV28"/>
    <mergeCell ref="DU29:DU30"/>
    <mergeCell ref="DV29:DV30"/>
    <mergeCell ref="EE26:EE28"/>
    <mergeCell ref="EE23:EE25"/>
    <mergeCell ref="EB17:EB19"/>
    <mergeCell ref="ED17:ED19"/>
    <mergeCell ref="ED23:ED25"/>
    <mergeCell ref="ED26:ED28"/>
    <mergeCell ref="DV23:DV25"/>
    <mergeCell ref="DW17:DW19"/>
    <mergeCell ref="DX17:DX19"/>
    <mergeCell ref="DY17:DY19"/>
    <mergeCell ref="DW23:DW25"/>
    <mergeCell ref="DX23:DX25"/>
    <mergeCell ref="DY23:DY25"/>
    <mergeCell ref="EK6:EK7"/>
    <mergeCell ref="EK17:EK19"/>
    <mergeCell ref="EK23:EK25"/>
    <mergeCell ref="EK26:EK28"/>
    <mergeCell ref="EK29:EK30"/>
    <mergeCell ref="EJ6:EJ7"/>
    <mergeCell ref="EJ17:EJ19"/>
    <mergeCell ref="EJ23:EJ25"/>
    <mergeCell ref="EJ26:EJ28"/>
    <mergeCell ref="EJ29:EJ30"/>
    <mergeCell ref="DV33:DV36"/>
    <mergeCell ref="DT33:DT36"/>
    <mergeCell ref="BE13:BE14"/>
    <mergeCell ref="BE15:BE19"/>
    <mergeCell ref="BF15:BF17"/>
    <mergeCell ref="BE20:BE25"/>
    <mergeCell ref="BF20:BF23"/>
    <mergeCell ref="BE26:BE32"/>
    <mergeCell ref="DH13:DH14"/>
    <mergeCell ref="DH17:DH19"/>
    <mergeCell ref="DK33:DK36"/>
    <mergeCell ref="CZ15:CZ19"/>
    <mergeCell ref="DC13:DC14"/>
    <mergeCell ref="DN33:DN36"/>
    <mergeCell ref="DL33:DL36"/>
    <mergeCell ref="CY33:CY36"/>
    <mergeCell ref="BH20:BH23"/>
    <mergeCell ref="CP23:CP25"/>
    <mergeCell ref="CQ23:CQ25"/>
    <mergeCell ref="CN23:CN25"/>
    <mergeCell ref="CQ17:CQ19"/>
    <mergeCell ref="BK13:BK14"/>
    <mergeCell ref="BI20:BI25"/>
    <mergeCell ref="CV13:CV14"/>
    <mergeCell ref="CZ33:CZ36"/>
    <mergeCell ref="DT6:DT7"/>
    <mergeCell ref="DT9:DT12"/>
    <mergeCell ref="DU9:DU12"/>
    <mergeCell ref="DK13:DK14"/>
    <mergeCell ref="DJ17:DJ19"/>
    <mergeCell ref="DK17:DK19"/>
    <mergeCell ref="DH9:DH12"/>
    <mergeCell ref="DD6:DD7"/>
    <mergeCell ref="DI6:DI8"/>
    <mergeCell ref="DI9:DI12"/>
    <mergeCell ref="DU33:DU36"/>
    <mergeCell ref="DG26:DG28"/>
    <mergeCell ref="DM26:DM28"/>
    <mergeCell ref="DQ26:DQ28"/>
    <mergeCell ref="DR26:DR28"/>
    <mergeCell ref="DS26:DS28"/>
    <mergeCell ref="DT23:DT25"/>
    <mergeCell ref="DU23:DU25"/>
    <mergeCell ref="DK23:DK25"/>
    <mergeCell ref="DT29:DT30"/>
    <mergeCell ref="DJ33:DJ36"/>
    <mergeCell ref="DL26:DL32"/>
    <mergeCell ref="CT6:CT8"/>
    <mergeCell ref="CU9:CU12"/>
    <mergeCell ref="CU13:CU14"/>
    <mergeCell ref="CX17:CX19"/>
    <mergeCell ref="CV6:CV7"/>
    <mergeCell ref="DF15:DF19"/>
    <mergeCell ref="DD17:DD19"/>
    <mergeCell ref="DE17:DE19"/>
    <mergeCell ref="DF6:DF8"/>
    <mergeCell ref="CX6:CX7"/>
    <mergeCell ref="DA6:DA7"/>
    <mergeCell ref="DB6:DB7"/>
    <mergeCell ref="DG9:DG12"/>
    <mergeCell ref="DB9:DB12"/>
    <mergeCell ref="DF9:DF12"/>
    <mergeCell ref="DD9:DD12"/>
    <mergeCell ref="DE9:DE12"/>
    <mergeCell ref="DF13:DF14"/>
    <mergeCell ref="CW13:CW14"/>
    <mergeCell ref="CX13:CX14"/>
    <mergeCell ref="DG6:DG7"/>
    <mergeCell ref="DE23:DE25"/>
    <mergeCell ref="CS17:CS19"/>
    <mergeCell ref="CR23:CR25"/>
    <mergeCell ref="CX26:CX28"/>
    <mergeCell ref="CY26:CY28"/>
    <mergeCell ref="DC9:DC12"/>
    <mergeCell ref="CW9:CW12"/>
    <mergeCell ref="CZ9:CZ12"/>
    <mergeCell ref="CZ13:CZ14"/>
    <mergeCell ref="CW20:CW25"/>
    <mergeCell ref="DD26:DD28"/>
    <mergeCell ref="DE26:DE28"/>
    <mergeCell ref="DB13:DB14"/>
    <mergeCell ref="CZ20:CZ25"/>
    <mergeCell ref="CY23:CY25"/>
    <mergeCell ref="DE13:DE14"/>
    <mergeCell ref="DA9:DA12"/>
    <mergeCell ref="CY9:CY12"/>
    <mergeCell ref="CT17:CT19"/>
    <mergeCell ref="CV26:CV28"/>
    <mergeCell ref="CR17:CR19"/>
    <mergeCell ref="CW15:CW19"/>
    <mergeCell ref="CQ6:CQ7"/>
    <mergeCell ref="CL6:CL7"/>
    <mergeCell ref="CM6:CM7"/>
    <mergeCell ref="CR6:CR7"/>
    <mergeCell ref="CS6:CS7"/>
    <mergeCell ref="BA6:BA8"/>
    <mergeCell ref="BA9:BA12"/>
    <mergeCell ref="BA13:BA14"/>
    <mergeCell ref="CP17:CP19"/>
    <mergeCell ref="BI6:BI8"/>
    <mergeCell ref="BJ15:BJ17"/>
    <mergeCell ref="CQ13:CQ14"/>
    <mergeCell ref="BK9:BK12"/>
    <mergeCell ref="B9:B12"/>
    <mergeCell ref="J6:J8"/>
    <mergeCell ref="J9:J12"/>
    <mergeCell ref="CN9:CN12"/>
    <mergeCell ref="CO9:CO12"/>
    <mergeCell ref="C6:C8"/>
    <mergeCell ref="BK6:BK7"/>
    <mergeCell ref="B6:B8"/>
    <mergeCell ref="BL6:BL7"/>
    <mergeCell ref="BM6:BM7"/>
    <mergeCell ref="BN6:BN7"/>
    <mergeCell ref="D6:D8"/>
    <mergeCell ref="F9:F12"/>
    <mergeCell ref="V9:V12"/>
    <mergeCell ref="AS6:AS8"/>
    <mergeCell ref="AS9:AS12"/>
    <mergeCell ref="K6:K8"/>
    <mergeCell ref="K9:K12"/>
    <mergeCell ref="BE6:BE8"/>
    <mergeCell ref="BE9:BE12"/>
    <mergeCell ref="Z6:Z8"/>
    <mergeCell ref="V6:V8"/>
    <mergeCell ref="I6:I8"/>
    <mergeCell ref="I9:I12"/>
    <mergeCell ref="DW26:DW28"/>
    <mergeCell ref="DX26:DX28"/>
    <mergeCell ref="DM17:DM19"/>
    <mergeCell ref="DM23:DM25"/>
    <mergeCell ref="DJ23:DJ25"/>
    <mergeCell ref="EA33:EA36"/>
    <mergeCell ref="DG33:DG36"/>
    <mergeCell ref="DA17:DA19"/>
    <mergeCell ref="DB17:DB19"/>
    <mergeCell ref="DH33:DH36"/>
    <mergeCell ref="DI33:DI36"/>
    <mergeCell ref="DE29:DE30"/>
    <mergeCell ref="DD33:DD36"/>
    <mergeCell ref="DS33:DS36"/>
    <mergeCell ref="DR23:DR25"/>
    <mergeCell ref="DY26:DY28"/>
    <mergeCell ref="DW33:DW36"/>
    <mergeCell ref="DX33:DX36"/>
    <mergeCell ref="DY33:DY36"/>
    <mergeCell ref="DF33:DF36"/>
    <mergeCell ref="DE33:DE36"/>
    <mergeCell ref="DK29:DK30"/>
    <mergeCell ref="DH29:DH30"/>
    <mergeCell ref="DG29:DG30"/>
    <mergeCell ref="ED29:ED30"/>
    <mergeCell ref="EC17:EC19"/>
    <mergeCell ref="DL6:DL8"/>
    <mergeCell ref="DL9:DL12"/>
    <mergeCell ref="DL13:DL14"/>
    <mergeCell ref="DL15:DL19"/>
    <mergeCell ref="DL20:DL25"/>
    <mergeCell ref="DS9:DS12"/>
    <mergeCell ref="DQ13:DQ14"/>
    <mergeCell ref="DR13:DR14"/>
    <mergeCell ref="DS13:DS14"/>
    <mergeCell ref="DQ29:DQ30"/>
    <mergeCell ref="DR29:DR30"/>
    <mergeCell ref="DS29:DS30"/>
    <mergeCell ref="DQ6:DQ7"/>
    <mergeCell ref="DS23:DS25"/>
    <mergeCell ref="EC23:EC25"/>
    <mergeCell ref="EC26:EC28"/>
    <mergeCell ref="EC29:EC30"/>
    <mergeCell ref="EA29:EA30"/>
    <mergeCell ref="DM29:DM30"/>
    <mergeCell ref="EA17:EA19"/>
    <mergeCell ref="DR17:DR19"/>
    <mergeCell ref="DS17:DS19"/>
    <mergeCell ref="DP9:DP12"/>
    <mergeCell ref="DP13:DP14"/>
    <mergeCell ref="DP33:DP36"/>
    <mergeCell ref="DM9:DM12"/>
    <mergeCell ref="DM13:DM14"/>
    <mergeCell ref="DZ6:DZ7"/>
    <mergeCell ref="DZ9:DZ12"/>
    <mergeCell ref="DZ13:DZ14"/>
    <mergeCell ref="DZ17:DZ19"/>
    <mergeCell ref="DZ23:DZ25"/>
    <mergeCell ref="DZ26:DZ28"/>
    <mergeCell ref="DZ29:DZ30"/>
    <mergeCell ref="DZ33:DZ36"/>
    <mergeCell ref="DR6:DR7"/>
    <mergeCell ref="DS6:DS7"/>
    <mergeCell ref="DQ9:DQ12"/>
    <mergeCell ref="DR9:DR12"/>
    <mergeCell ref="DQ33:DQ36"/>
    <mergeCell ref="DR33:DR36"/>
    <mergeCell ref="DO33:DO36"/>
    <mergeCell ref="DM33:DM36"/>
    <mergeCell ref="DW29:DW30"/>
    <mergeCell ref="DX29:DX30"/>
    <mergeCell ref="DY29:DY30"/>
    <mergeCell ref="CU29:CU30"/>
    <mergeCell ref="CT26:CT28"/>
    <mergeCell ref="CT29:CT30"/>
    <mergeCell ref="CV29:CV30"/>
    <mergeCell ref="CW26:CW32"/>
    <mergeCell ref="CY13:CY14"/>
    <mergeCell ref="CY17:CY19"/>
    <mergeCell ref="DD13:DD14"/>
    <mergeCell ref="CT23:CT25"/>
    <mergeCell ref="DA13:DA14"/>
    <mergeCell ref="DC15:DC19"/>
    <mergeCell ref="DC20:DC25"/>
    <mergeCell ref="DA29:DA30"/>
    <mergeCell ref="DC26:DC32"/>
    <mergeCell ref="DB29:DB30"/>
    <mergeCell ref="CX23:CX25"/>
    <mergeCell ref="CV17:CV19"/>
    <mergeCell ref="CX29:CX30"/>
    <mergeCell ref="DD29:DD30"/>
    <mergeCell ref="CY29:CY30"/>
    <mergeCell ref="DD23:DD25"/>
    <mergeCell ref="G15:G19"/>
    <mergeCell ref="CP6:CP7"/>
    <mergeCell ref="AK6:AK8"/>
    <mergeCell ref="N6:N8"/>
    <mergeCell ref="O6:O7"/>
    <mergeCell ref="CN6:CN7"/>
    <mergeCell ref="G6:G8"/>
    <mergeCell ref="AS13:AS14"/>
    <mergeCell ref="CN13:CN14"/>
    <mergeCell ref="CO13:CO14"/>
    <mergeCell ref="AW6:AW8"/>
    <mergeCell ref="CP13:CP14"/>
    <mergeCell ref="BL13:BL14"/>
    <mergeCell ref="BM13:BM14"/>
    <mergeCell ref="CM9:CM12"/>
    <mergeCell ref="BL9:BL12"/>
    <mergeCell ref="BM9:BM12"/>
    <mergeCell ref="O15:O17"/>
    <mergeCell ref="P15:P17"/>
    <mergeCell ref="Q15:Q17"/>
    <mergeCell ref="H6:H8"/>
    <mergeCell ref="Y15:Y17"/>
    <mergeCell ref="Z15:Z19"/>
    <mergeCell ref="L6:L8"/>
    <mergeCell ref="BN9:BN12"/>
    <mergeCell ref="CL9:CL12"/>
    <mergeCell ref="Z13:Z14"/>
    <mergeCell ref="AO15:AO19"/>
    <mergeCell ref="AK15:AK19"/>
    <mergeCell ref="I13:I14"/>
    <mergeCell ref="I15:I19"/>
    <mergeCell ref="U15:U17"/>
    <mergeCell ref="AV15:AV17"/>
    <mergeCell ref="AR15:AR17"/>
    <mergeCell ref="J15:J19"/>
    <mergeCell ref="AO6:AO8"/>
    <mergeCell ref="AO9:AO12"/>
    <mergeCell ref="AO13:AO14"/>
    <mergeCell ref="AN15:AN17"/>
    <mergeCell ref="K13:K14"/>
    <mergeCell ref="AD9:AD12"/>
    <mergeCell ref="AD13:AD14"/>
    <mergeCell ref="BI13:BI14"/>
    <mergeCell ref="BI9:BI12"/>
    <mergeCell ref="AS15:AS19"/>
    <mergeCell ref="BH15:BH17"/>
    <mergeCell ref="BI15:BI19"/>
    <mergeCell ref="AK9:AK12"/>
    <mergeCell ref="AK13:AK14"/>
    <mergeCell ref="AG13:AG14"/>
    <mergeCell ref="AZ15:AZ17"/>
    <mergeCell ref="AF15:AF17"/>
    <mergeCell ref="L13:L14"/>
    <mergeCell ref="N9:N12"/>
    <mergeCell ref="AC15:AC17"/>
    <mergeCell ref="Z9:Z12"/>
    <mergeCell ref="C9:C12"/>
    <mergeCell ref="M13:M14"/>
    <mergeCell ref="M15:M19"/>
    <mergeCell ref="G9:G12"/>
    <mergeCell ref="G13:G14"/>
    <mergeCell ref="H13:H14"/>
    <mergeCell ref="H9:H12"/>
    <mergeCell ref="AD15:AD19"/>
    <mergeCell ref="F15:F19"/>
    <mergeCell ref="E15:E19"/>
    <mergeCell ref="D15:D19"/>
    <mergeCell ref="C15:C19"/>
    <mergeCell ref="H15:H19"/>
    <mergeCell ref="K15:K19"/>
    <mergeCell ref="L9:L12"/>
    <mergeCell ref="L15:L19"/>
    <mergeCell ref="D9:D12"/>
    <mergeCell ref="M9:M12"/>
    <mergeCell ref="R15:R17"/>
    <mergeCell ref="S15:S17"/>
    <mergeCell ref="V15:V19"/>
    <mergeCell ref="N15:N19"/>
    <mergeCell ref="D13:D14"/>
    <mergeCell ref="E9:E12"/>
    <mergeCell ref="AC20:AC23"/>
    <mergeCell ref="AG26:AG32"/>
    <mergeCell ref="BK26:BK28"/>
    <mergeCell ref="CN26:CN28"/>
    <mergeCell ref="AG15:AG19"/>
    <mergeCell ref="Y20:Y23"/>
    <mergeCell ref="CO26:CO28"/>
    <mergeCell ref="BL26:BL28"/>
    <mergeCell ref="CN29:CN30"/>
    <mergeCell ref="CO29:CO30"/>
    <mergeCell ref="AJ15:AJ17"/>
    <mergeCell ref="AJ20:AJ23"/>
    <mergeCell ref="BN23:BN25"/>
    <mergeCell ref="AX15:AX17"/>
    <mergeCell ref="AX20:AX23"/>
    <mergeCell ref="AW15:AW19"/>
    <mergeCell ref="CN17:CN19"/>
    <mergeCell ref="CO17:CO19"/>
    <mergeCell ref="BK17:BK19"/>
    <mergeCell ref="AK20:AK25"/>
    <mergeCell ref="AR20:AR23"/>
    <mergeCell ref="BK23:BK25"/>
    <mergeCell ref="BN26:BN28"/>
    <mergeCell ref="P20:P23"/>
    <mergeCell ref="Q20:Q23"/>
    <mergeCell ref="S20:S23"/>
    <mergeCell ref="O20:O23"/>
    <mergeCell ref="BM33:BM36"/>
    <mergeCell ref="BN33:BN36"/>
    <mergeCell ref="V33:V36"/>
    <mergeCell ref="AN20:AN23"/>
    <mergeCell ref="AO20:AO25"/>
    <mergeCell ref="AO26:AO32"/>
    <mergeCell ref="AN28:AN29"/>
    <mergeCell ref="AO33:AO36"/>
    <mergeCell ref="Y28:Y29"/>
    <mergeCell ref="Z20:Z25"/>
    <mergeCell ref="BE33:BE36"/>
    <mergeCell ref="BI26:BI32"/>
    <mergeCell ref="BK33:BK36"/>
    <mergeCell ref="AJ28:AJ29"/>
    <mergeCell ref="V26:V32"/>
    <mergeCell ref="AG33:AG36"/>
    <mergeCell ref="BM26:BM28"/>
    <mergeCell ref="AS20:AS25"/>
    <mergeCell ref="AF20:AF23"/>
    <mergeCell ref="AF28:AF29"/>
    <mergeCell ref="I33:I36"/>
    <mergeCell ref="AD33:AD36"/>
    <mergeCell ref="AC28:AC29"/>
    <mergeCell ref="H26:H32"/>
    <mergeCell ref="AD26:AD32"/>
    <mergeCell ref="H33:H36"/>
    <mergeCell ref="BI33:BI36"/>
    <mergeCell ref="BH28:BH29"/>
    <mergeCell ref="K33:K36"/>
    <mergeCell ref="I26:I32"/>
    <mergeCell ref="AK33:AK36"/>
    <mergeCell ref="AS26:AS32"/>
    <mergeCell ref="AR28:AR29"/>
    <mergeCell ref="K26:K32"/>
    <mergeCell ref="BD28:BD29"/>
    <mergeCell ref="L26:L32"/>
    <mergeCell ref="L33:L36"/>
    <mergeCell ref="M26:M32"/>
    <mergeCell ref="M33:M36"/>
    <mergeCell ref="AS33:AS36"/>
    <mergeCell ref="I20:I25"/>
    <mergeCell ref="K20:K25"/>
    <mergeCell ref="H20:H25"/>
    <mergeCell ref="B26:B32"/>
    <mergeCell ref="C26:C32"/>
    <mergeCell ref="D26:D32"/>
    <mergeCell ref="E26:E32"/>
    <mergeCell ref="F26:F32"/>
    <mergeCell ref="N26:N32"/>
    <mergeCell ref="L20:L25"/>
    <mergeCell ref="M20:M25"/>
    <mergeCell ref="F39:F40"/>
    <mergeCell ref="AK26:AK32"/>
    <mergeCell ref="EA6:EA7"/>
    <mergeCell ref="EA9:EA12"/>
    <mergeCell ref="EA13:EA14"/>
    <mergeCell ref="EA23:EA25"/>
    <mergeCell ref="EA26:EA28"/>
    <mergeCell ref="BN13:BN14"/>
    <mergeCell ref="BL17:BL19"/>
    <mergeCell ref="BM17:BM19"/>
    <mergeCell ref="BN17:BN19"/>
    <mergeCell ref="BL23:BL25"/>
    <mergeCell ref="BM23:BM25"/>
    <mergeCell ref="CZ6:CZ8"/>
    <mergeCell ref="CW6:CW8"/>
    <mergeCell ref="DC6:DC8"/>
    <mergeCell ref="CU6:CU7"/>
    <mergeCell ref="R20:R23"/>
    <mergeCell ref="CN33:CN36"/>
    <mergeCell ref="CO33:CO36"/>
    <mergeCell ref="AW33:AW36"/>
    <mergeCell ref="CQ29:CQ30"/>
    <mergeCell ref="CP26:CP28"/>
    <mergeCell ref="CP33:CP36"/>
    <mergeCell ref="F38:G38"/>
    <mergeCell ref="CQ33:CQ36"/>
    <mergeCell ref="BL29:BL30"/>
    <mergeCell ref="N33:N36"/>
    <mergeCell ref="F33:F36"/>
    <mergeCell ref="Z26:Z32"/>
    <mergeCell ref="U28:U29"/>
    <mergeCell ref="BL33:BL36"/>
    <mergeCell ref="AG20:AG25"/>
    <mergeCell ref="V20:V25"/>
    <mergeCell ref="AD20:AD25"/>
    <mergeCell ref="J20:J25"/>
    <mergeCell ref="J26:J32"/>
    <mergeCell ref="AW20:AW25"/>
    <mergeCell ref="AW26:AW32"/>
    <mergeCell ref="AV28:AV29"/>
    <mergeCell ref="Z33:Z36"/>
    <mergeCell ref="BM29:BM30"/>
    <mergeCell ref="P28:P29"/>
    <mergeCell ref="Q28:Q29"/>
    <mergeCell ref="R28:R29"/>
    <mergeCell ref="S28:S29"/>
    <mergeCell ref="BK29:BK30"/>
    <mergeCell ref="BN29:BN30"/>
    <mergeCell ref="DN26:DN28"/>
    <mergeCell ref="DO26:DO28"/>
    <mergeCell ref="DN29:DN30"/>
    <mergeCell ref="DI15:DI19"/>
    <mergeCell ref="DI20:DI25"/>
    <mergeCell ref="DI26:DI32"/>
    <mergeCell ref="DJ26:DJ28"/>
    <mergeCell ref="DK26:DK28"/>
    <mergeCell ref="DJ29:DJ30"/>
    <mergeCell ref="DN9:DN12"/>
    <mergeCell ref="DO9:DO12"/>
    <mergeCell ref="DN13:DN14"/>
    <mergeCell ref="DO13:DO14"/>
    <mergeCell ref="DN17:DN19"/>
    <mergeCell ref="DO17:DO19"/>
    <mergeCell ref="DO6:DO7"/>
    <mergeCell ref="DH6:DH7"/>
    <mergeCell ref="DJ6:DJ7"/>
    <mergeCell ref="DK6:DK7"/>
    <mergeCell ref="DJ9:DJ12"/>
    <mergeCell ref="DK9:DK12"/>
    <mergeCell ref="DJ13:DJ14"/>
    <mergeCell ref="EI6:EI7"/>
    <mergeCell ref="EI17:EI19"/>
    <mergeCell ref="EI23:EI25"/>
    <mergeCell ref="EI26:EI28"/>
    <mergeCell ref="EI29:EI30"/>
    <mergeCell ref="EE29:EE30"/>
    <mergeCell ref="EE6:EE7"/>
    <mergeCell ref="EB6:EB7"/>
    <mergeCell ref="EB23:EB25"/>
    <mergeCell ref="EG6:EG7"/>
    <mergeCell ref="EG17:EG19"/>
    <mergeCell ref="EG23:EG25"/>
    <mergeCell ref="EG26:EG28"/>
    <mergeCell ref="EG29:EG30"/>
    <mergeCell ref="EH6:EH7"/>
    <mergeCell ref="EH17:EH19"/>
    <mergeCell ref="EH23:EH25"/>
    <mergeCell ref="EH26:EH28"/>
    <mergeCell ref="EH29:EH30"/>
    <mergeCell ref="EE17:EE19"/>
    <mergeCell ref="EB26:EB28"/>
    <mergeCell ref="EB29:EB30"/>
    <mergeCell ref="ED6:ED7"/>
    <mergeCell ref="EC6:EC7"/>
    <mergeCell ref="CQ26:CQ28"/>
    <mergeCell ref="CP29:CP30"/>
    <mergeCell ref="CO23:CO25"/>
    <mergeCell ref="DQ23:DQ25"/>
    <mergeCell ref="CR33:CR36"/>
    <mergeCell ref="CW33:CW36"/>
    <mergeCell ref="CS23:CS25"/>
    <mergeCell ref="CR26:CR28"/>
    <mergeCell ref="CS26:CS28"/>
    <mergeCell ref="DA33:DA36"/>
    <mergeCell ref="DB33:DB36"/>
    <mergeCell ref="DC33:DC36"/>
    <mergeCell ref="DB23:DB25"/>
    <mergeCell ref="DA26:DA28"/>
    <mergeCell ref="DB26:DB28"/>
    <mergeCell ref="CR29:CR30"/>
    <mergeCell ref="CS29:CS30"/>
    <mergeCell ref="CT33:CT36"/>
    <mergeCell ref="CU33:CU36"/>
    <mergeCell ref="CX33:CX36"/>
    <mergeCell ref="CS33:CS36"/>
    <mergeCell ref="CU23:CU25"/>
    <mergeCell ref="CV23:CV25"/>
    <mergeCell ref="CV33:CV36"/>
    <mergeCell ref="B15:B19"/>
    <mergeCell ref="E13:E14"/>
    <mergeCell ref="AZ20:AZ23"/>
    <mergeCell ref="AZ28:AZ29"/>
    <mergeCell ref="BA15:BA19"/>
    <mergeCell ref="BA20:BA25"/>
    <mergeCell ref="BA26:BA32"/>
    <mergeCell ref="BA33:BA36"/>
    <mergeCell ref="BB15:BB17"/>
    <mergeCell ref="BB20:BB23"/>
    <mergeCell ref="E33:E36"/>
    <mergeCell ref="D33:D36"/>
    <mergeCell ref="C33:C36"/>
    <mergeCell ref="F21:F25"/>
    <mergeCell ref="E21:E25"/>
    <mergeCell ref="D21:D25"/>
    <mergeCell ref="C21:C25"/>
    <mergeCell ref="N20:N25"/>
    <mergeCell ref="B21:B25"/>
    <mergeCell ref="J33:J36"/>
    <mergeCell ref="B33:B36"/>
    <mergeCell ref="G33:G36"/>
    <mergeCell ref="G26:G32"/>
    <mergeCell ref="G20:G25"/>
    <mergeCell ref="DT13:DT14"/>
    <mergeCell ref="DU13:DU14"/>
    <mergeCell ref="DV13:DV14"/>
    <mergeCell ref="CT13:CT14"/>
    <mergeCell ref="DF26:DF32"/>
    <mergeCell ref="DN6:DN7"/>
    <mergeCell ref="CU17:CU19"/>
    <mergeCell ref="CY6:CY7"/>
    <mergeCell ref="DA23:DA25"/>
    <mergeCell ref="DP6:DP7"/>
    <mergeCell ref="DP17:DP19"/>
    <mergeCell ref="DP23:DP25"/>
    <mergeCell ref="DP26:DP28"/>
    <mergeCell ref="DP29:DP30"/>
    <mergeCell ref="DQ17:DQ19"/>
    <mergeCell ref="DN23:DN25"/>
    <mergeCell ref="DO23:DO25"/>
    <mergeCell ref="DM6:DM7"/>
    <mergeCell ref="DO29:DO30"/>
    <mergeCell ref="DH23:DH25"/>
    <mergeCell ref="DH26:DH28"/>
    <mergeCell ref="CU26:CU28"/>
    <mergeCell ref="CZ26:CZ32"/>
    <mergeCell ref="DE6:DE7"/>
    <mergeCell ref="DW9:DW12"/>
    <mergeCell ref="DX9:DX12"/>
    <mergeCell ref="DY9:DY12"/>
    <mergeCell ref="DW13:DW14"/>
    <mergeCell ref="DX13:DX14"/>
    <mergeCell ref="DY13:DY14"/>
    <mergeCell ref="B2:BG4"/>
    <mergeCell ref="DW6:DW7"/>
    <mergeCell ref="DX6:DX7"/>
    <mergeCell ref="DY6:DY7"/>
    <mergeCell ref="B13:B14"/>
    <mergeCell ref="E6:E8"/>
    <mergeCell ref="F6:F8"/>
    <mergeCell ref="AG9:AG12"/>
    <mergeCell ref="CP9:CP12"/>
    <mergeCell ref="CO6:CO7"/>
    <mergeCell ref="C13:C14"/>
    <mergeCell ref="F13:F14"/>
    <mergeCell ref="J13:J14"/>
    <mergeCell ref="M6:M8"/>
    <mergeCell ref="AG6:AG8"/>
    <mergeCell ref="AD6:AD8"/>
    <mergeCell ref="V13:V14"/>
    <mergeCell ref="N13:N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Gráficos</vt:lpstr>
      </vt:variant>
      <vt:variant>
        <vt:i4>1</vt:i4>
      </vt:variant>
    </vt:vector>
  </HeadingPairs>
  <TitlesOfParts>
    <vt:vector size="3" baseType="lpstr">
      <vt:lpstr>PLAN 2021</vt:lpstr>
      <vt:lpstr>Hoja1</vt:lpstr>
      <vt:lpstr>Gráfico1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IPCC</cp:lastModifiedBy>
  <dcterms:created xsi:type="dcterms:W3CDTF">2020-08-25T20:44:35Z</dcterms:created>
  <dcterms:modified xsi:type="dcterms:W3CDTF">2022-01-31T11:22:32Z</dcterms:modified>
</cp:coreProperties>
</file>