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G:\Mi unidad\IDER\2022\Abril\Ley 1712 de 2014\"/>
    </mc:Choice>
  </mc:AlternateContent>
  <bookViews>
    <workbookView xWindow="-120" yWindow="-120" windowWidth="20730" windowHeight="11160"/>
  </bookViews>
  <sheets>
    <sheet name="2022" sheetId="1" r:id="rId1"/>
  </sheets>
  <definedNames>
    <definedName name="_xlnm._FilterDatabase" localSheetId="0" hidden="1">'2022'!$A$2:$AX$28</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R25" i="1" l="1"/>
  <c r="R24" i="1"/>
  <c r="AF26" i="1"/>
  <c r="AF25" i="1"/>
  <c r="AF24" i="1"/>
  <c r="R26" i="1" l="1"/>
  <c r="AF15" i="1" l="1"/>
  <c r="AF12" i="1"/>
  <c r="AF9" i="1"/>
  <c r="AG9" i="1" s="1"/>
  <c r="AF3" i="1"/>
  <c r="AD3" i="1"/>
  <c r="R3" i="1"/>
  <c r="R9" i="1"/>
  <c r="S9" i="1" s="1"/>
  <c r="R12" i="1"/>
  <c r="R15" i="1"/>
  <c r="S15" i="1" s="1"/>
  <c r="N15" i="1"/>
  <c r="AG27" i="1"/>
  <c r="AG26" i="1"/>
  <c r="AG25" i="1"/>
  <c r="AG19" i="1"/>
  <c r="AG17" i="1"/>
  <c r="AG16" i="1"/>
  <c r="AG14" i="1"/>
  <c r="AG13" i="1"/>
  <c r="AG11" i="1"/>
  <c r="AG10" i="1"/>
  <c r="AG7" i="1"/>
  <c r="AG6" i="1"/>
  <c r="AG5" i="1"/>
  <c r="AG4" i="1"/>
  <c r="AG24" i="1"/>
  <c r="AG15" i="1"/>
  <c r="S27" i="1"/>
  <c r="S25" i="1"/>
  <c r="S23" i="1"/>
  <c r="S22" i="1"/>
  <c r="S21" i="1"/>
  <c r="S20" i="1"/>
  <c r="S19" i="1"/>
  <c r="S17" i="1"/>
  <c r="S16" i="1"/>
  <c r="S14" i="1"/>
  <c r="S13" i="1"/>
  <c r="S12" i="1"/>
  <c r="S11" i="1"/>
  <c r="T10" i="1" s="1"/>
  <c r="S10" i="1"/>
  <c r="S6" i="1"/>
  <c r="S5" i="1"/>
  <c r="T3" i="1" s="1"/>
  <c r="S4" i="1"/>
  <c r="AV28" i="1"/>
  <c r="AU28" i="1"/>
  <c r="AW24" i="1"/>
  <c r="AW18" i="1"/>
  <c r="AW15" i="1"/>
  <c r="AW12" i="1"/>
  <c r="AW10" i="1"/>
  <c r="AW6" i="1"/>
  <c r="AW5" i="1"/>
  <c r="AW3" i="1"/>
  <c r="S24" i="1"/>
  <c r="N12" i="1"/>
  <c r="AD15" i="1"/>
  <c r="AD25" i="1"/>
  <c r="AD24" i="1"/>
  <c r="N25" i="1"/>
  <c r="N24" i="1"/>
  <c r="T15" i="1" l="1"/>
  <c r="T12" i="1"/>
  <c r="T24" i="1"/>
  <c r="AW28" i="1"/>
  <c r="T6" i="1"/>
  <c r="AG28" i="1"/>
  <c r="AD26" i="1"/>
  <c r="N26" i="1"/>
  <c r="AD12" i="1"/>
  <c r="T28" i="1" l="1"/>
  <c r="N3" i="1"/>
  <c r="O4" i="1" l="1"/>
  <c r="O5" i="1"/>
  <c r="O6" i="1"/>
  <c r="O7" i="1"/>
  <c r="O8" i="1"/>
  <c r="O9" i="1"/>
  <c r="O10" i="1"/>
  <c r="O11" i="1"/>
  <c r="O12" i="1"/>
  <c r="O13" i="1"/>
  <c r="O14" i="1"/>
  <c r="O15" i="1"/>
  <c r="O16" i="1"/>
  <c r="O17" i="1"/>
  <c r="O18" i="1"/>
  <c r="O19" i="1"/>
  <c r="O20" i="1"/>
  <c r="O21" i="1"/>
  <c r="O22" i="1"/>
  <c r="O23" i="1"/>
  <c r="O24" i="1"/>
  <c r="O25" i="1"/>
  <c r="O27" i="1"/>
  <c r="AE25" i="1"/>
  <c r="AE27" i="1"/>
  <c r="P12" i="1" l="1"/>
  <c r="P3" i="1"/>
  <c r="P15" i="1"/>
  <c r="P18" i="1"/>
  <c r="Q3" i="1"/>
  <c r="AT24" i="1" l="1"/>
  <c r="AT18" i="1"/>
  <c r="AT15" i="1"/>
  <c r="AT12" i="1"/>
  <c r="AT10" i="1"/>
  <c r="AT6" i="1"/>
  <c r="AT5" i="1"/>
  <c r="AT3" i="1"/>
  <c r="AR28" i="1" l="1"/>
  <c r="AS28" i="1"/>
  <c r="AT28" i="1" l="1"/>
  <c r="AE24" i="1"/>
  <c r="Q12" i="1"/>
  <c r="AE12" i="1"/>
  <c r="Q15" i="1"/>
  <c r="AE17" i="1"/>
  <c r="AE15" i="1"/>
  <c r="AE14" i="1"/>
  <c r="AE11" i="1"/>
  <c r="AE9" i="1"/>
  <c r="AE19" i="1"/>
  <c r="AE16" i="1"/>
  <c r="AE13" i="1"/>
  <c r="AE10" i="1"/>
  <c r="AE8" i="1"/>
  <c r="AE7" i="1"/>
  <c r="AE6" i="1"/>
  <c r="AE5" i="1"/>
  <c r="AE4" i="1"/>
  <c r="Q27" i="1"/>
  <c r="Q26" i="1"/>
  <c r="Q25" i="1"/>
  <c r="Q24" i="1"/>
  <c r="Q23" i="1"/>
  <c r="Q22" i="1"/>
  <c r="Q21" i="1"/>
  <c r="Q20" i="1"/>
  <c r="Q19" i="1"/>
  <c r="Q18" i="1"/>
  <c r="Q17" i="1"/>
  <c r="Q16" i="1"/>
  <c r="Q14" i="1"/>
  <c r="Q13" i="1"/>
  <c r="Q11" i="1"/>
  <c r="Q10" i="1"/>
  <c r="Q9" i="1"/>
  <c r="Q8" i="1"/>
  <c r="Q7" i="1"/>
  <c r="Q6" i="1"/>
  <c r="Q5" i="1"/>
  <c r="Q4" i="1"/>
  <c r="Q28" i="1" l="1"/>
  <c r="AE28" i="1"/>
  <c r="P24" i="1" l="1"/>
  <c r="P10" i="1"/>
  <c r="P6" i="1"/>
  <c r="AC4" i="1"/>
  <c r="P28" i="1" l="1"/>
</calcChain>
</file>

<file path=xl/sharedStrings.xml><?xml version="1.0" encoding="utf-8"?>
<sst xmlns="http://schemas.openxmlformats.org/spreadsheetml/2006/main" count="393" uniqueCount="226">
  <si>
    <t>FORMATO PLAN DE ACCIÓN
DEPENDENCIA: XXXXXXX
VIGENCIA 2022</t>
  </si>
  <si>
    <t>PILAR</t>
  </si>
  <si>
    <t>LINEA ESTRATEGICA</t>
  </si>
  <si>
    <t>Indicador de Bienestar</t>
  </si>
  <si>
    <t>Línea Base 2019</t>
  </si>
  <si>
    <t>Meta de Bienestar 2020-2023</t>
  </si>
  <si>
    <t xml:space="preserve">PROGRAMA </t>
  </si>
  <si>
    <t>Indicador de Producto</t>
  </si>
  <si>
    <t>UNIDAD DE MEDIDA DEL INDICADOR DE PRODUCTO</t>
  </si>
  <si>
    <t>Línea Base 2019 
Según PDD</t>
  </si>
  <si>
    <t>Descripción de la Meta Producto 2020-2023</t>
  </si>
  <si>
    <t>Valor de  la Meta Producto 2020-2023</t>
  </si>
  <si>
    <t>PROGRAMACIÓN META A 2022</t>
  </si>
  <si>
    <t>ACUMULADO DE META PRODUCTO 2020- 2021</t>
  </si>
  <si>
    <t>PROYECTO</t>
  </si>
  <si>
    <t>Código de proyecto BPIN</t>
  </si>
  <si>
    <t>Objetivo del Proyecto</t>
  </si>
  <si>
    <t>Actividades de Proyecto</t>
  </si>
  <si>
    <t>Valor de la Actividad del  Proyecto 2022</t>
  </si>
  <si>
    <t xml:space="preserve">Fecha de inicio </t>
  </si>
  <si>
    <t>Tiempo de Ejecución
(número de días)</t>
  </si>
  <si>
    <t>Beneficiarios Programados</t>
  </si>
  <si>
    <t>Beneficiarios Cubiertos</t>
  </si>
  <si>
    <t xml:space="preserve">Dependencia Responsable </t>
  </si>
  <si>
    <t>Nombre del Responable</t>
  </si>
  <si>
    <t>Fuente de Financiación</t>
  </si>
  <si>
    <t>Apropiación Inicial
(en pesos)</t>
  </si>
  <si>
    <t>Fuente Presupuestal</t>
  </si>
  <si>
    <t>Rubro Presupuestal</t>
  </si>
  <si>
    <t>Código Presupuestal</t>
  </si>
  <si>
    <t>¿Requiere contratación?</t>
  </si>
  <si>
    <t>Tipo de Contratación</t>
  </si>
  <si>
    <t>Fecha de Inicio Contratación</t>
  </si>
  <si>
    <t>INCLUYENTE</t>
  </si>
  <si>
    <t xml:space="preserve">DEPORTE Y RECREACIÓN CON INCLUISIÓN SOCIAL PARA LA TRASNFORMACIÓN SOCIAL </t>
  </si>
  <si>
    <t>Porcentaje de la población cartagenera vinculadas a las actividades y eventos deportivos, pre deportivos y paralímpicos.</t>
  </si>
  <si>
    <t>LA ESCUELA Y EL DEPORTE SON DE TODOS</t>
  </si>
  <si>
    <t>Número de Niños, niñas y adolescentes inscritos en la Escuela de Iniciación y Formación Deportiva</t>
  </si>
  <si>
    <t>Número</t>
  </si>
  <si>
    <t>Se incrementará a 5.400 niñas, niños, adolescentes inscritos en los diversos niveles de iniciación y formación</t>
  </si>
  <si>
    <t xml:space="preserve">Desarrollo de la Escuela de Iniciaciòn  y Formaciòn Deportiva por nùcleos y enfasis  en la ciudad de Cartagena de Indias </t>
  </si>
  <si>
    <t>Desarrollar de forma continua el proceso de aprendizaje deportivo en los niños, niñas y adolescentes en Cartagena de Indias</t>
  </si>
  <si>
    <t>1.	Implementar el nivel 1: Iniciación Deportiva
2.	Implementar el nivel 2: Formación Deportiva
3.	Implementar el nivel 3: Enfasis Deportivo
4.	Implementar el nivel 4: Perfeccionamiento Deportivo
5.	Aumentar el número de núcleos de atención en los niveles 1 y 2 de iniciación y formación deportiva
6.	Sistematizar la vinculación de los niños, niñas y adolescentes pertenecientes a la Escuela de Formación Deportiva
7.	Realizar acompañamiento psicosocial a los niños, niñas, adolescentes y padres pertenecientes a la Escuela de Formación Deportiva
8.	Divulgar las acciones y actividades desarrolladas en el proyecto
9.	Realizar encuentros deportivos para la participación de los niños, niñas y adolescentes pertenecientes a la Escuela de Formación Deportiva</t>
  </si>
  <si>
    <t>Instituto Distrital de Deporte y Recreación - IDER</t>
  </si>
  <si>
    <t>Viviana Londoño Moreno</t>
  </si>
  <si>
    <t>Inversión</t>
  </si>
  <si>
    <t>Recursos Propios 
SGP - Deportes</t>
  </si>
  <si>
    <t xml:space="preserve">Número de núcleos de Escuela de Iniciación y Formación Deportivo creados </t>
  </si>
  <si>
    <t>Incrementar a 54 los núcleos para masificar la práctica del deporte en las comunidades del Distrito de Cartagena de Indias</t>
  </si>
  <si>
    <t xml:space="preserve">Número de participantes en los torneos del deporte estudiantil </t>
  </si>
  <si>
    <t xml:space="preserve">Se mantendrán en 10.176 los participantes en los diferentes torneos de las instituciones educativas y las universidades </t>
  </si>
  <si>
    <t>Fortalecimiento del Deporte Estudiantil mediante la implementación de los Juegos Intercolegiados y Universitarios en el Distrito de Cartagena de Indias.</t>
  </si>
  <si>
    <t>Incrementar la participación de las instituciones educativas en el desarrollo de competencias deportivas estudiantiles en el Distrito de Cartagena de Indias</t>
  </si>
  <si>
    <t>1.	Desarrollar jornadas de inscripción de las Instituciones Educativas en los juegos intercolegiados
2.	Acompañar el proceso de socialización y desarrollo de los juegos interuniversitarios 
3.	Divulgar las acciones y actividades desarrolladas en el proyecto
4.	Realizar las competencias deportivas de los juegos intercolegiados del distrito
5.	Acompañar el desarrollo de las competencias de los juegos interuniversitarios 
6.	Entregar la premiación a los ganadores de las competencias deportivas distritales</t>
  </si>
  <si>
    <t xml:space="preserve">Recursos Propios </t>
  </si>
  <si>
    <t>DEPORTE ASOCIADO “INCENTIVOS CON-SENTIDO”</t>
  </si>
  <si>
    <t>Número de estímulos y/o apoyos otorgados a ligas, clubes, federaciones y otras organizaciones deportivas</t>
  </si>
  <si>
    <t>Se otorgarán 400 estímulos y/o apoyos a las ligas, clubes, federaciones y otras organizaciones deportivas</t>
  </si>
  <si>
    <t>Consolidación del sistema Deportivo Distrital mediante una estrategia de estímulos y/o apoyos a las organizaciones deportivas y deportistas de altos logros</t>
  </si>
  <si>
    <t xml:space="preserve">Consolidar el Sistema de Deporte Competitivo y Asociado del Distrito de Cartagena de Indias. </t>
  </si>
  <si>
    <t>1.	Realizar la entrega y seguimiento de los estímulos a deportistas convencionales y no convencionales
2.	Divulgar las acciones de los deportivas y organizaciones deportivas realizadas 
3.	Apoyar eventos deportivos de carácter regional, nacional e internacional
4.	Realizar la entrega y seguimiento de los estímulos a organismos deportivos
5.	Brindar asesorías a los organismos deportivos para el reconocimiento y estructuración
6.	Crear plataforma de organizaciones deportivas</t>
  </si>
  <si>
    <t>Número de personas impactadas de los estímulos y/o apoyos otorgados a ligas, clubes, federaciones y otras organizaciones deportivas</t>
  </si>
  <si>
    <t>Se impactarán 4.000 personas con los estímulos y/o apoyos otorgados a las ligas, clubes, federaciones y otras organizaciones deportivas</t>
  </si>
  <si>
    <t>Número de estímulos y/o apoyos otorgados a deportistas de altos logros, futuras estrellas y Viejas Glorias del Deporte convencional y paralímpico</t>
  </si>
  <si>
    <t>Se otorgarán estímulos y/o apoyos a 576 atletas de altos logros, futuras estrellas y viejas glorias del deporte convencional y paralímpico</t>
  </si>
  <si>
    <t xml:space="preserve">Número de eventos de carácter regional, nacional e internacional realizados y/o apoyados </t>
  </si>
  <si>
    <t>Se apoyarán 20 eventos deportivos de carácter regional,  nacional e internacional a realizarse en el Distrito de Cartagena de Indias</t>
  </si>
  <si>
    <t>DEPORTE SOCIAL COMUNITARIO CON INCLUSIÓN “CARTAGENA INCLUYENTE”</t>
  </si>
  <si>
    <t xml:space="preserve">Número de participantes en los eventos o torneos de deporte social comunitario con inclusión </t>
  </si>
  <si>
    <t>Se incrementarán a 120.000 los participantes en el desarrollo de eventos o torneos de deporte social comunitario con inclusión</t>
  </si>
  <si>
    <t xml:space="preserve">Integración Comunitaria a través del  Deporte como Herramienta para la inclusión Social desde los diferentes enfoques Poblacionales. </t>
  </si>
  <si>
    <t xml:space="preserve">2021130010011
</t>
  </si>
  <si>
    <t>Integrar a las comunidades a través del deporte social comunitario en el Distrito de Cartagena de Indias</t>
  </si>
  <si>
    <t>1.	Realizar campañas informativas sobre el deporte social ante la comunidad
2.	Divulgar las acciones y actividades desarrolladas en el proyecto
3.	Realizar el torneo de los juegos corregimentales
4.	Realizar el torneo de los juegos comunales
5.	Realizar el torneo de los juegos afro, raizales, negros y palenqueros
6.	Realizar el torneo de los juegos indígenas
7.	Realizar el torneo de los juegos carcelarios
8.	Realizar el torneo de los juegos de personas en situación de discapacidad
9.	Adquirir la dotación e implementación requerida para el desarrollo de los torneos
10.	Disponer de la logística para cada uno de los torneos.</t>
  </si>
  <si>
    <t>Número de eventos o torneos de deporte social comunitario con inclusión realizados y/o apoyados</t>
  </si>
  <si>
    <t>Se realizarán 15 eventos o torneos de deporte social comunitario con inclusión dirigidos a la comunidad</t>
  </si>
  <si>
    <t>Porcentaje de la población cartagenera vinculada a la actividad física y eventos recreativos.</t>
  </si>
  <si>
    <t xml:space="preserve">PROGRAMA HÁBITOS Y ESTILOS DE VIDA SALUDABLE </t>
  </si>
  <si>
    <t>Número de participantes vinculados a la actividad física.</t>
  </si>
  <si>
    <t>Se incrementarán a 14.131 los participantes vinculados a la actividad física.</t>
  </si>
  <si>
    <t xml:space="preserve">Mejoramiento de los estilos de vida mediante la promoción masiva de una vida activa de la ciudadanía en el Distirto de Cartagena </t>
  </si>
  <si>
    <t>Disminuir el riesgo de enfermedades crónicas no transmisibles en la comunidad cartagenera</t>
  </si>
  <si>
    <t>1.	Implementar la estrategia de "Entornos saludables"
2.	Puesta en marcha del "Centro de Acondicionamiento físico- CAF"
3.	Desarrollar las acciones de la estrategia "Madrúgale a la Salud"
4.	Desarrollar las acciones de la estrategia "Caminante Saludable"
5.	Desarrollar las acciones de la estrategia "Noches Saludables"
6.	Desarrollar las acciones de la estrategia "Joven Saludable"
7.	Diseñar e implementar el semillero de actividad física 
8.	Divulgar las acciones de las estrategias y eventos realizadas 
9.	Desarrollar eventos de concentración 
10.	Desarrollar eventos de promoción
11.	Desarrollar eventos de ciudad</t>
  </si>
  <si>
    <t xml:space="preserve">Número de asistentes a los eventos de hábitos y estilos de vida saludable de carácter local, nacional e internacional realizados y/o apoyados </t>
  </si>
  <si>
    <t>Se incrementarán a 19.448 los asistentes a los eventos de hábitos y estilos de vida saludable dirigidos a todas las edades</t>
  </si>
  <si>
    <t xml:space="preserve">Número de eventos de hábitos y estilos de vida saludable de carácter local, nacional e internacional realizados y/o apoyados </t>
  </si>
  <si>
    <t xml:space="preserve">Se realizarán 18 eventos de hábitos y estilos de vida saludable dirigidos a todas las edades </t>
  </si>
  <si>
    <t xml:space="preserve">PROGRAMA RECREACIÓN COMUNITARIA “RECRÉATE CARTAGENA” </t>
  </si>
  <si>
    <t xml:space="preserve">Número de participantes en las actividades de recreación comunitaria </t>
  </si>
  <si>
    <t>Se atenderán a 24.984 participantes de las actividades recreativas en el Distrito de Cartagena de Indias.</t>
  </si>
  <si>
    <t>RECREACIÓN COMUNITARIA Y APROVECHAMIENTO DEL TIEMPO LIBRE, COMO MECANISMO DE COHESIÓN E INTEGRACIÓN SOCIAL EN EL DISTRITO DE   CARTAGENA DE INDIAS</t>
  </si>
  <si>
    <t>Aumentar la interacción social a través de la práctica de la recreación en el tiempo libre</t>
  </si>
  <si>
    <t>1.	Realizar campañas de divulgación asociadas a la recreación
2.	Apoyar el desarrollo de actividades de recreación a nivel distrital 
3.	Desarrollar la estrategia "Vacaciones Recreativas"
4.	Desarrollar la estrategia "Cartagena es de los niños y niñas"
5.	Desarrollar la estrategia "Persona Mayor - Un nuevo comienzo"
6.	Desarrollar la estrategia "Escuela Recreativa"
7.	Desarrollar la estrategia "Campamentos juveniles"
8.	Desarrollar actividades de integración para el aprovechamiento del espacio público
9.	Divulgar las acciones y actividades desarrolladas en el proyecto</t>
  </si>
  <si>
    <t>Número de asistentes a los eventos de recreación de carácter local, nacional e internacional realizados y/o apoyados</t>
  </si>
  <si>
    <t>Se incrementarán a 22.999 los asistentes a los eventos de recreación comunitaria dirigidos a todas las edades</t>
  </si>
  <si>
    <t xml:space="preserve">Número de eventos de recreación de carácter local, nacional e internacional realizados y/o apoyados </t>
  </si>
  <si>
    <t xml:space="preserve">Se realizarán 17 eventos de recreación comunitaria dirigidos a todas las edades </t>
  </si>
  <si>
    <t xml:space="preserve">OBSERVATORIO DE CIENCIAS APLICADAS AL DEPORTE, LA RECREACIÓN, LA ACTIVIDAD FÍSICA Y EL APROVECHAMIENTO DEL TIEMPO LIBRE EN EL DISTRITO DE CARTAGENA DE INDIAS </t>
  </si>
  <si>
    <t>Número de documentos elaborados y publicados</t>
  </si>
  <si>
    <t>Se publicarán 4 documentos históricos y científicos sobre el deporte, la recreación, la actividad física y el aprovechamiento del tiempo libre en el Distrito de Cartagena de Indias</t>
  </si>
  <si>
    <t>IMPLEMENTACIÓN DEL OBSERVATORIO DE CIENCIAS APLICADAS AL DEPORTE, LA RECREACIÓN, LA ACTIVIDAD FÍSICA Y EL APROVECHAMIENTO DEL TIEMPO LIBRE EN EL DISTRITO DE  CARTAGENA DE INDIAS</t>
  </si>
  <si>
    <t>Incrementar la aplicación de ciencia, tecnología e innovación en el sector deportivo y recreativo en el Distrito de Cartagena.</t>
  </si>
  <si>
    <t>1.	Generar alianzas  para la producción de conocimiento cientifico y para fortalecer la formación técnica, tecnológa y profesional sobre deporte y recreación
2.	Ejecutar la puesta en marcha del semillero de investigación sobre el sector deporte
3.	Producir y publicar artículos cientifico - historico asociados al sector deporte
4.	Investigar y caracterizar piezas del patrimonio deportivo en Cartagena y Bolívar
5.	Divulgar las acciones y actividades desarrolladas en el proyecto
6.	Desarrollar encuentros cientificos sobre deporte, recreación, actividad física y aprovechamiento del tiempo libre. 
7.	Fomentar la participación ciudadana en espacios de intercambio de conocimiento del sector deporte y recreación
8.	Diseñar e implementar un banco de datos sobre el sector deporte y recreación</t>
  </si>
  <si>
    <t>N/A</t>
  </si>
  <si>
    <t>Número de personas con apropiación social de conocimiento.</t>
  </si>
  <si>
    <t>Se incrementará a 16.720 personas con apropiación social de conocimiento</t>
  </si>
  <si>
    <t xml:space="preserve">Número de piezas de Memoria Histórica del Deporte Cartagenero caracterizadas </t>
  </si>
  <si>
    <t>Se caracterizarán 10 piezas con todos los documentos e investigaciones científicas existentes de memoria histórica del deporte</t>
  </si>
  <si>
    <t xml:space="preserve">Número de semilleros de investigación </t>
  </si>
  <si>
    <t>Se conformará y organizará 1 semillero de investigación científica deportiva</t>
  </si>
  <si>
    <t>Número de alianzas y convenios para la generación y apropiación social del conocimiento</t>
  </si>
  <si>
    <t>Se realizarán 10 convenios institucionales para la generación y apropiación social del conocimiento</t>
  </si>
  <si>
    <t>Porcentaje de la población cartagenera que hace uso y disfrute de los escenarios deportivos y recreativos</t>
  </si>
  <si>
    <t xml:space="preserve">ADMINISTRACIÓN, MANTENIMIENTO, ADECUACIÓN, MEJORAMIENTO Y CONSTRUCCIÓN DE ESCENARIOS DEPORTIVOS  </t>
  </si>
  <si>
    <t>Número de permisos autorizados para el uso temporal y/o permanente de los escenarios deportivos.</t>
  </si>
  <si>
    <t>Se autorizarán 2.400 permisos para el uso temporal y/o permanente de los escenarios deportivos.</t>
  </si>
  <si>
    <t>Conservación, mantenimiento y mejoramiento de los escenarios deportivos de la ciudad como estrategia de preservación del patrimonio material del Distrito de Cartagena de Indias</t>
  </si>
  <si>
    <t>Preservar los escenarios deportivos en el distrito de Cartagena de Indias</t>
  </si>
  <si>
    <t>1.	Socializar y divulgar el uso adecuado de los escenarios deportivos a todos los usuarios y beneficiarios
2.	Disponer los escenarios deportivos para el uso de la comunidad
3.	Divulgar las acciones y actividades desarrolladas en el proyecto
4.	Realizar un plan general de mantenimiento de los escenarios deportivos
5.	Intervenir de manera preventiva, correctiva, programada y predictiva los escenarios deportivos
6.	Garantizar el continuo uso y disfrute de los escenarios
7.	Ejecutar las obras de construcción y/o reconstrucción de los escenarios deportivos. 
8.	Administrar el uso y préstamo de los escenarios a la comunidad
9.	Realizar revisión y verificación del funcionamiento de los escenarios deportivos</t>
  </si>
  <si>
    <t>Número de personas que hace uso y disfrute de los escenarios deportivos y recreativos</t>
  </si>
  <si>
    <t>Se impactarán a 209.842 personas en el uso y disfrute de los escenarios deportivos y recreativos</t>
  </si>
  <si>
    <t xml:space="preserve">Número de escenarios deportivos mantenidos, adecuados, y/o mejorados en el distrito de Cartagena de Indias  </t>
  </si>
  <si>
    <t xml:space="preserve">Se incrementará a 110 los escenarios deportivos mantenidos, adecuados, y/o mejorados en el distrito de Cartagena de Indias  </t>
  </si>
  <si>
    <t xml:space="preserve">Número de escenarios deportivos construidos  </t>
  </si>
  <si>
    <t xml:space="preserve">Se desarrollará la construcción de 10 escenarios deportivos en el Distrito de Cartagena de Indias </t>
  </si>
  <si>
    <t>2.3.4301.1604.2020130010053</t>
  </si>
  <si>
    <t>DESARROLLO DE LA ESCUELA DE INICIACIÓN Y FORMACIÓN DEPORTIVA - EIFD EN EL DISTRITO DE  CARTAGENA DE INDIAS</t>
  </si>
  <si>
    <t>2.3.4301.1604.2020130010194</t>
  </si>
  <si>
    <t>FORTALECIMIENTO DEL DEPORTE ESTUDIANTIL MEDIANTE LA IMPLEMENTACIÓN DE LOS JUEGOS INTERCOLEGIADOS Y UNIVERSITARIOS EN EL DISTRITO DE   CARTAGENA DE INDIAS</t>
  </si>
  <si>
    <t>CONSOLIDACIÓN DEL SISTEMA DEPORTIVO DISTRITAL MEDIANTE UNA ESTRATEGIA DE ESTÍMULOS Y/O APOYOS A LAS ORGANIZACIONES DEPORTIVAS Y DEPORTISTAS DE ALTOS LOGROS-0  CARTAGENA DE INDIAS</t>
  </si>
  <si>
    <t>2.3.4302.1604.2020130010038</t>
  </si>
  <si>
    <t>2.3.4301.1604.2021130010011</t>
  </si>
  <si>
    <t>INTEGRACIÓN COMUNITARIA A TRAVÉS DEL DEPORTE COMO HERRAMIENTA PARA LA INCLUSIÓN SOCIAL DESDE LOS DIFERENTES ENFOQUES POBLACIONALES  CARTAGENA DE INDIAS</t>
  </si>
  <si>
    <t>2.3.4301.1604.2020130010055</t>
  </si>
  <si>
    <t>MEJORAMIENTO DE LOS ESTILOS DE VIDA MEDIANTE LA PROMOCIÓN MASIVA DE UNA VIDA ACTIVA DE LA CIUDADANÍA EN EL DISTRITO DE  CARTAGENA DE INDIAS</t>
  </si>
  <si>
    <t>2.3.4301.1604.2021130010230</t>
  </si>
  <si>
    <t>2.3.4302.1604.2021130010270</t>
  </si>
  <si>
    <t>CONSERVACIÓN , MANTENIMIENTO Y MEJORAMIENTO DE LOS ESCENARIOS DEPORTIVOS DE LA CIUDAD COMO ESTRATEGIA DE PRESERVACIÓN DEL PATRIMONIO MATERIAL DEL DISTRITO DE   CARTAGENA DE INDIAS</t>
  </si>
  <si>
    <t>2.3.4301.1604.2020130010036</t>
  </si>
  <si>
    <t>SI</t>
  </si>
  <si>
    <t>Contrato de prestación de servicios
Contrato de Servicios
Orden de Compra
Suministro</t>
  </si>
  <si>
    <t>% de avance en la meta Cuatrienio</t>
  </si>
  <si>
    <t xml:space="preserve">Número </t>
  </si>
  <si>
    <t xml:space="preserve">Observación Enero de 2022 </t>
  </si>
  <si>
    <t xml:space="preserve">Número de Planes Institucionales y estrategicos articulados al Plan de Acción del 2022 del IDER  </t>
  </si>
  <si>
    <t xml:space="preserve">Se Integrarán los planes institucionales y estrategicos al Plan de Acción (Decreto No. 612 del 2018 ) </t>
  </si>
  <si>
    <t xml:space="preserve">1. Se inicio la contratación del personal, conformado el equipo de trabajo de Deporte Social Comunitario. Esto se realizo entre las fechas del 20 al 26 de enero del 2022
2. Reunión del equipo de DSC con el equipo de planeación, con la finalidad de analizar los resultados del plan de acción en la vigencia 2021; así mismo la planificación estratégica para esta vigencia 2022 en el cumplimiento de metas. 
3. Se trabajo en la realización de los análisis y presupuestos por cada una de las estrategias del programa, basados en los recursos disponibles para esta vigencia 2022.
4. Se realizo la primera reunión de equipo de trabajo, con el objeto de analizar los avances y resultados de cada estrategia del programa DSC, se plantearon compromisos para el trabajo en equipo y responsabilidades, que fortalezcan el cumplimento de las metas establecidas en esta vigencia 2022. 
</t>
  </si>
  <si>
    <t xml:space="preserve">1. Se inició la contratación del personal, conformado el equipo de trabajo de Deporte Estudiantil. Esto se realizó entre las fechas del 14 al 22 de enero del 2022.
2. Reunión con los coordinadores de programa y con el jefe de área, donde se dieron los detalles que encaminan a las funciones específicas del cargo y el plan de comunicación. Fecha 14 de enero 2022
3. Se trabajó en la revisión y organización del cronograma de trabajo para la vigencia 2022. Fecha 18 de enero 2022
4. Reunión con dirección y jefe de área, para revisar el calendario de trabajo, las fechas programadas para las distintas actividades en cada una de las fases que componen el programa, revisión de presupuesto y otras especificaciones técnicas. Fecha 19 de enero 2022.
5. Reunión con el equipo de planeación, con el objetivo de analizar los resultados del plan de acción en la vigencia 2021; así mismo la planificación estratégica para esta vigencia 2022 en el cumplimiento de metas. Fecha 21 de enero 2022.
</t>
  </si>
  <si>
    <t xml:space="preserve">Se construyo cronograma de actividades 2022, plan de adquisición, mesas de trabajo con el equipo
administrativo y comunidad para la generación de acciones que promuevan el cumplimiento de los
indicadores del proyecto. En este primer mes se realizón un cliclopaseo que beneficio a 15 personas., La estrategia de Campamentos Juveniles llevó acabo en este primer mes las siguientes acciones: Se realizaron avances en la construcción de cronogramas y planes de trabajo para el cumplimiento
de los indicadores del año. Se realiza inducción y reinducción del equipo de trabajo el cual estará en
dando cumplimiento a todas las acciones propuestas asi como también Se están realizando todos los acercamientos a las diferentes entidades como la Juntas de Acciones
Comunales, Instituciones Educativas, Grupos Organizados, Fundaciones socializando todas las
actividades. dando inicio en el mes de enero en las diferentes Instituciones Educativas, se realizarón diferentes actividades recreativas que beneficiaron a 1.268 personas . </t>
  </si>
  <si>
    <t xml:space="preserve"> En este mes de enero se iniciaron todos los enlaces con Secretaria de Participación, Directivos de
los centros penitenciarios y carcelarios, líderes de HSQ de las empresas a impactar, para concertar
cronogramas de trabajo 2022, se les envió nuestro portafolio de servicios con las ofertas
institucionales, con las Instituciones Educativas se iniciaron actividades las cuales beneficiaron a  422 personas.                                                                                                                                                                                                                                                                                                       Se dio apertura a los puntos activos de las diferentes comunidades el día lunes 24 de enero
de 2022. se encuentran en proceso de inscripción de usuarios, evaluaciones físicas y
tamizajes.
2. Se realizaron en este período dos (2) eventos de promoción, con un total de usuarios
impactado de 38. También cuatro (4) eventos de concentración con un total de 299 personas.                                                                                                                                           1. El Centro de Acondicionamiento Físico CAF – IDER se encuentra en plan de modernización
y mantenimiento de máquinas y elementos.
2. Se inició con la Estrategia Actívate en el Parque con el IDER el día lunes 24 de enero de 2022. </t>
  </si>
  <si>
    <t xml:space="preserve">Actividades desarrolladas en el mes de enero de 2022 en el marco del Observatorio de Ciencias Aplicadas al Deporte, la Recreación y el Aprovechamiento del Tiempo Libre.
1. Presentación de las metas alcanzadas durante 2021 en los proyectos Apropiación social del conocimiento, memoria histórica y aplicación de la ciencia al sector deporte. Igualmente los resultados del contrato de prestación de servicios suscrito con la Universidad San Buenaventura y el avance en la distribución de la revista SINERGIA. (Anexo 1) 
2. Estructuración, presentación y validación del plan de trabajo 2022 por componentes del proyecto: banco de datos, memoria histórica, semillero de investigación y gestión de alianzas y apropiación social del conocimiento. (Anexo 2)
3. Participación del proceso de estructuración de plan de adquisiciones en su componente Observatorio con el acompañamiento de la oficina jurídica y de planeación.
4. Definición de la estructura de los planes de trabajo en los diferentes componentes del proyecto: banco de datos, memoria histórica, semillero de investigación y gestión de alianzas y apropiación social del conocimiento.
</t>
  </si>
  <si>
    <t xml:space="preserve">• Se llevo a cabo reunión de equipo de deportes del programa Deporte Asociados - incentivo con sentidos, las nuevas convocatorias de PAFID y PADAL, las cuales este año tiene una connotación especial que se proyecta con y para deportistas con miras a eliminatorias a juegos nacionales; apostándole a la preparación y academia (estudió), para organismos deportivos; la propuesta es brindar apoyo en participación y organización deportiva.
• Se realizo reunión de trabajo para determinar con planeación, jurídica y financiera, con el objetivo de conocer el plan de inversión por proyecto, en este caso nuestra meta en materia de inversión supera los 1.800.000 millones según metas establecidas en plan 2022.
• En este periodo se realizó el III Torneo de Ajedrez a la Rueda Rueda en el Complejo de Raquetas donde participaron 140 niños y jóvenes de diferentes ciudades del país.
• Se realizo mesa de trabajo virtual con el equipo de jurídica y financiera, para conocer, el manual de lineamientos en cuanto al uso de los 410 escenarios que maneja el IDER.
• Se llevo a cabo la presentación a dirección la nueva propuesta, de convocatoria año 2022, para deportistas y organismos.
• Mesas de trabajo con el ministerio del deporte para la organización, cómo sede Cartagena y Bolívar de los juegos nacionales comunales; a realizarse del 17 al 24 de febrero en escenarios del distrito de Cartagena de indias, contarán con 870 deportistas y 26 departamentos.
• Se realizo y organizo la cronograma de actividades del programa  y la programación de los eventos deportivos para este semestre que se realizaran en esta vigencia 2022 
• La contratación de este año para deportes asociados incentivos con sentidos consta con un personal de apoyo de 5 personas que son los siguientes
1. Carlos Pombo
2. Nelson Osorio
3. Karen Flórez
4. Vanessa Triviño
                                                                                                              5. Jorge Franco                                                                                                                                                                                                                                                                                                                                                                     • Encuentro de HARLISTA, campaña de apoyo a los habitantes del islote de Orica - isla del Rosario, conto con el respaldo de la Armada Nacional, IDER y la fundación nacional de HARLISTA, tuvo una asistencia de aproximadamente ,300 motos procedentes de varios participantes del país. 
• En este periodo se siguió entregando la implementación deportiva a ligas y clubes de Cartagena correspondiente a la convocatoria 2020 y 2021.
</t>
  </si>
  <si>
    <t xml:space="preserve">Se inicia la contratación del equipo de EIFD a partir del 14 de enero de manera gradual, retomando la planificación que se presentó al año 2021, con sus metas y retos que asumiremos como proyecto, de esta misma manera se realizaron las reuniones con el equipo de deporte en la preparación de la inducción de resultados y la nueva visión de la escuela con la dirección general y equipo deporte. También realizamos la ´primera mesa de trabajo con planeación para la orientación del proyecto, además se realizarón las siguientes acciones:  La vinculación de personal  
 La planificación de año 2022 
 La creación del formulario para las inscripciones de nuevos usuarios 
 Inducción del equipo EIFD y el área de deporte 
 Reuniones con el equipo coordinación pedagógico y interdisciplinario que tuvo como objetivo la estructura, control y seguimiento por etapa para mayor eficiencia.
 Con el equipo de prensa y EIFD se crearon estrategias publicitarias, que contiene piezas, grabación de videos con NNA y coordinador general, que tiene como objetivo comunicar a la comunidad el proceso de inscripción.
 Participación en lasdiferentes mesas de trabajo con planeación, el área de PQR (posibles respuestas a cada uno de los usuarios en sus inconformidades o inquietudes) y jurídica para la socialización de modelos de adquisiciones de bienes y servicios de los diferentes progra-mas del área de deporte. Podemos concluir que este inicio de año 2022 el proyecto arranca con una contratación temprana que nos permitió revisar las metas, retos y la planificación del año en curso. De esta misma forma estructuramos las coordinaciones pedagógicas e interdisciplinarias para brindar un acompañamiento a cada una de las docentes, según sus etapas. Por otro lado, la participación en las diferentes mesas de trabajo nos ha permitido aclarar y definir la elaboración de las especificaciones técnicas de cada una de las actividades, y la adquisición de la implementación deportiva.
</t>
  </si>
  <si>
    <t xml:space="preserve">% de Avance Meta Cuatrenio </t>
  </si>
  <si>
    <t xml:space="preserve">  </t>
  </si>
  <si>
    <t>REPORTE META PRODUCTO  ACUMULADO  DE ENERO  a DE FEBRERO 2022</t>
  </si>
  <si>
    <t xml:space="preserve">%de avance Enero a  Febrero  Meta año 2022 </t>
  </si>
  <si>
    <t>% de avance del programa de Enero a Febrero  de  2022</t>
  </si>
  <si>
    <t>REPORTE DE ACTIVIDADES A CORTE DE  ENERO A  FEBRERO DE 2022</t>
  </si>
  <si>
    <t>Porcentaje de Participación de la Actividad en el Proyecto a corte  de Enero a Febrero de 2022</t>
  </si>
  <si>
    <t xml:space="preserve">APROPIACION DEFINITIVA A CORTE  DE ENERO A  FEBRERO DE 2022 </t>
  </si>
  <si>
    <t xml:space="preserve">REPORTE EJECUCIÓN PRESUPUESTAL CORTE DE ENERO A  FEBRERO DE 2022 </t>
  </si>
  <si>
    <t xml:space="preserve">% EJECUCIÓN PRESUPUESTAL CORTE  DE ENERO A  FEBRERO DE 2022 </t>
  </si>
  <si>
    <t xml:space="preserve"> Se inicio la contratación del personal, conformado el equipo de trabajo de Deporte Estudiantil. Esto se realizó entre las fechas del 14 al 22 de enero del 2022.
 Reunión con los coordinadores de programa y con el jefe de área, donde se dieron los detalles que encaminan a las funciones específicas del cargo y el plan de comunicación. Fecha 14 de enero 2022
 Se trabajo en la revisión y organización del cronograma de trabajo para la vigencia 2022. Fecha 18 de enero 2022
 Reunión con dirección y jefe de área, para revisar el calendario de trabajo, las fechas programadas para las distintas actividades en cada una de las fases que componen el programa, revisión de presupuesto y otras especificaciones técnicas. Fecha 19 de enero 2022.
 Reunión con el equipo de planeación, con el objetivo de analizar los resultados del plan de acción en la vigencia 2021; así mismo la planificación estratégica para esta vigencia 2022 en el cumplimiento de metas. Fecha 21 de enero 2022.
 Reunión con secretaria de educación la doctora Ana Arnedo y el equipo de trabajo de deporte estudiantil, con el objeto de establecer estrategias encaminadas a la ejecución de los juegos Intercolegiados vigencia 2022- fecha 11 de febrero del 2022.
2. Se continuo con las visitas a las instituciones educativas superior y universidades del Distrito, donde se realizo la entrega de la revista Sinergia publicación del Instituto Distrital de Deporte y Recreación – IDER. 
3. Reunión con el equipo de Coordinadores de Programa y el equipo de planeación, donde se trato el tema de adiciones presupuestales en los programas y se presento la nueva plantilla para su ejecución. 
4. Se asistió a la convocatoria reunión con MINDEPORTE, donde se trataron los temas de finales de juegos Intercolegiados 2021 y referentes de los juegos Intercolegiados 2022. 
</t>
  </si>
  <si>
    <t xml:space="preserve"> Se realizo la contratación y vinculación del equipo de trabajo de la EIFD  
 Reunión con el equipo de trabajo para organizar y planificar la ejecución de la vigencia del año 2022 
 Inducción general del equipo de trabajo del área de deporte con todos sus programas. 
 Reuniones con el equipo coordinación pedagógico y interdisciplinario que tuvo como objetivo la estructura, control y seguimiento por etapa para mayor eficiencia.
 Se realizo reunión con el equipo de prensa y EIFD para crear estrategias publicitarias, de contenidos de piezas, grabación de videos con NNA y coordinador general; con objetivo de comunicar a la comunidad el proceso de inscripción.
 Participación en las diferentes mesas de trabajo con planeación, el área de PQR (posibles respuestas a cada uno de los usuarios en sus inconformidades o inquietudes) y jurídica para la socialización de modelos de adquisiciones de bienes y servicios de los diferentes programas del área de deporte.
 Inicio y procesos de inscripción para todos las niñas, niños y adolescentes que deseen ser parte de la escuela de iniciación y formación deportiva. 
 Realización de campañas promocionales de la oferta institucional e invitación en cada una de las localidades. 
 El proceso de inscripción inicio el primero de febrero y a la fecha 18 de febrero se cuenta con 2.626 participantes inscriptos. 
En el mes de febrero se participó en las mesas de trabajo de observatorio y planeación en la que se socializaron los formatos y sistemas de recolección de la información en base a los parámetros que planeación distrital y del instituto, el acompañamiento del equipo psicosocial y pedagógico en las jornadas de inscripción en los núcleos priorizados, las capacitaciones metodológicas con los docentes de énfasis y perfeccionamiento deportivo según el cronograma de capacitación. 
</t>
  </si>
  <si>
    <t>Se aperturo un nuevo núcleo en el corregimiento de Punta Canoa .</t>
  </si>
  <si>
    <t> Se inicio la contratación del personal, que conforma el equipo de trabajo de Deporte Asociado.                                                                                                                                                                                                                                   Se llevo a cabo reunión de equipo de deportes del programa Deporte Asociados - incentivo con sentidos, las nuevas convocatorias de PAFID y PADAL, las cuales este año tiene una connotación especial que se proyecta con y para deportistas con miras a eliminatorias a juegos nacionales; apostándole a la preparación y academia (estudió), para organismos deportivos; la propuesta es brindar apoyo en participación y organización deportiva.
 Se realizo reunión de trabajo para determinar con planeación, jurídica y financiera, con el objetivo de conocer el plan de inversión por proyecto, en este caso nuestra meta en materia de inversión supera los 1.800.000 millones según metas establecidas en plan 2022.
 Se realizo mesa de trabajo virtual con el equipo de jurídica y financiera, para conocer, el manual de lineamientos en cuanto al uso de los 410 escenarios que maneja el IDER.
 Se llevo a cabo la presentación a dirección la nueva propuesta, de convocatoria año 2022, para deportistas y organismos.</t>
  </si>
  <si>
    <t> Se inicio la contratación del personal, que conforma el equipo de trabajo de Deporte Asociado.  Se llevo a cabo reunión de equipo de deportes del programa Deporte Asociados - incentivo con sentidos, las nuevas convocatorias de PAFID y PADAL, las cuales este año tiene una connotación especial que se proyecta con y para deportistas con miras a eliminatorias a juegos nacionales; apostándole a la preparación y academia (estudió), para organismos deportivos; la propuesta es brindar apoyo en participación y organización deportiva.
 Se realizo reunión de trabajo para determinar con planeación, jurídica y financiera, con el objetivo de conocer el plan de inversión por proyecto, en este caso nuestra meta en materia de inversión supera los 1.800.000 millones según metas establecidas en plan 2022.
 Se realizo mesa de trabajo virtual con el equipo de jurídica y financiera, para conocer, el manual de lineamientos en cuanto al uso de los 410 escenarios que maneja el IDER.
 Se llevo a cabo la presentación a dirección la nueva propuesta, de convocatoria año 2022, para deportistas y organismos.                                                                                                                                                                                                     En este periodo se siguió entregando la implementación deportiva a ligas y clubes de Cartagena correspondiente a la convocatoria 2020 y 2021.  
 Reuniones de comité y equipo de trabajo, para la presentación de las estrategias en las convocatorias de entrega de estímulos y/o apoyos a las organizaciones deportivas y deportistas de altos logros.                       Se realizo reunión de comité para presentar los referentes a las convocatorias de PAFID y PADAL y Organismos Deportivos. Así mismo se realizaron los ajustes requeridos por parte de los asesores del área de deporte para la aprobación del comité.                                                                                                                                                                                                                                                                                                                                                                                                    Se realizo la primera y segunda socialización de los términos de referencia de nuestra convocatoria pública del programa de apoyo a deportistas de altos logros PADAL-PAFID y futuros ídolos del deporte que tendrá apertura el 11 de marzo.</t>
  </si>
  <si>
    <t xml:space="preserve">
</t>
  </si>
  <si>
    <t xml:space="preserve"> Se inicio la contratación del personal, conformado el equipo de trabajo de Deporte Social Comunitario. Esto se realizó entre las fechas del 20 al 26 de enero del 2022.
 Reunión del equipo de DSC con el equipo de planeación, con la finalidad de analizar los resultados del plan de acción en la vigencia 2021; así mismo la planificación estratégica para esta vigencia 2022 en el cumplimiento de metas. 
 Se trabajo en la realización de los análisis y presupuestos por cada una de las estrategias del programa, basados en los recursos disponibles para esta vigencia 2022.                                                                                                                              Se realizo la primera reunión de equipo de trabajo, con el objeto de analizar los avances y resultados de cada estrategia del programa DSC, se plantearon compromisos para el trabajo en equipo y responsabilidades, que fortalezcan el cumplimento de las metas establecidas en esta vigencia 2022.
 Apoyo a la realización de los juegos comunales nacionales realizados en el distrito de Cartagena.   Se iniciaron las actividades de acampamiento y supervisión en las estrategias de juegos de discapacidad y juegos carcelarios, en el cumplimento de las acciones establecidas en las metas del plan de acción y las actividades desarrolladas en los comités interinstitucional que priorizan estas poblaciones. </t>
  </si>
  <si>
    <t xml:space="preserve">
</t>
  </si>
  <si>
    <t>.En el mes de febrero seguimos haciendo los enlaces con Secretaria de Participación y lideres de grupos organizados de la Localidad 1, Directivos de los Centros Penitenciarios y
carcelarios, lideres de HSQ de las empresas a impactar, para concertar cronogramas de trabajo 2022, iniciamos actividades, seguimos programando, estamos en la búsqueda de
nuevas empresa y generación de actividades con las mismas. . Se realizo el día 6 de febrero la salida de Actívate Running, con motivo de su primer aniversario, la actividad se realizó con una subida al Convento de la Popa con 108 usuarios.  .En el mes de febrero se retomaron actividades en los puntos de actividad física de la estrategia Noches Saludables de los barrios Amberes y Villa Rosita, y de Madrúgale a la Salud de Villa
Zuldany, puntos que pertenecían el año anterior al Convenio Interinstitucional MinDeporte-IDER. 1. El Centro de Acondicionamiento Físico CAF – IDER se encuentra en plan de modernización
y mantenimiento de máquinas y elementos. . A corte de febrero 15 de 2022, se inició la estrategia Actívate en el Parque en los barrios: La Plazuela y Nuevo Paraíso Sector Alameda. 1. Aperturamos el núcleo número 15 de la estrategia Joven Saludable Barrio La María, en las instalaciones de la I.E. Fundación Pies Descalzos. .  En los eventos de Promoción (1) se impactaron a 151 usuarios, y en los eventos de Concentración (11) un total de 417 usuarios.  . El Centro de Acondicionamiento Físico CAF – IDER se encuentra en plan de modernización y mantenimiento de máquinas y compra de implementos. .  Febrero 15 de 2022, iniciamos la Estrategia Actívate en el Parque en los barrios La Plazuela y Nuevo Paraíso Sector Alameda.</t>
  </si>
  <si>
    <t>Para este periodo  no se realizron eventos de ciudad  de carácter local, nacional e internacional .</t>
  </si>
  <si>
    <t xml:space="preserve"> Se realizo y organizo el cronograma de actividades del programa y la programación de los eventos deportivos para este semestre que se realizaran en esta vigencia 2022 .
 Mesas de trabajo con el ministerio del deporte para la organización, cómo sede Cartagena y Bolívar de los juegos nacionales comunales; a realizarse del 17 al 24 de febrero en escenarios del distrito de Cartagena de indias, contarán con 870 deportistas y 26 departamentos.  Para este mes d e febrero de 2022 , el IDER apoyo los siguientes eventos:   .Se llevo a cabo la inauguración de los III juegos nacionales comunales donde participaron 26 delegaciones y 870 deportistas de todo el país. . Se llevo a cabo la primera competencia internacional de natación en aguas abiertas que contó con la participación de 600 deportistas de 11 países OCEANMAN.. .  Los días 26 y 27 del presente en el complejo de raquetas se realizó el campeonato nacional de tenis G3 Bolívar donde participaron 60 deportistas.
</t>
  </si>
  <si>
    <t>Principales acciones realizadas en Aprovechamiento del espacio público, en el período  comprendido del 1 primero al 15 de febrero de 2022, Le dimos Inicio a la estrategia Ciclo paseo martes de Bici, Realizamos la primera Ciclovia barrial. Iniciamos el proyecto Campamento Juveniles el sábado 12 de febrero en coliseo de combate y gimnasia “Ignacio Amador De La Peña”.En las atenciones realizadas a los hogares comunitarios ubicados en los corregimientos de Pasacaballos y La Boquilla se beneficiaron en total 17 agentes educativos. . Se realizo la socialización del proyecto en dos nuevos corregimientos (Bocachica y Caño del Oro), en la cual logramos identificar 365 personas que se empezaran a impactar desde la tercera semana del mes de febrero del 2022. Se está desarrollando la campaña “Rescatando Sonrisas” en conmemoración a la lucha contra el cáncer infantil.  . Del 16 al 23 de febrero se participó en los III Juegos Nacionales Comunales del 2022 (40 campistas y los Líderes del Proyecto). 2. Se viene desarrollando el plan de capacitación para los Líderes del Proyecto.  . Se ha socializado el Proyecto Campamentos Juveniles como el servicio Social Obligatorio en las siguientes Instituciones Educativas: A. I. E. Juan José Nieto - Barrio el Socorro: 112 participantes,
B. I. E. Nuestra Señora del Carmen - Barrio Chiquinquirá: 120 participantes,C. I. E. Escuela Normal Superior - Nuevo Bosque: 89 participantes,D. I. E. Olga González Arraut - Alto Bosque: 80 participantes 
E. I.E. Fe y Alegría las Américas – Nuevo Paraíso: 138 participantes ,. En las atenciones realizadas a la población se beneficiaron 97 agentes educativos. .. Se realizó la socialización del proyecto en la Isla de Barú y Caño del Oro, en la cual logramos identificar 195 personas que se empezarán a impactar desde el mes de marzo. .. Dentro de los encuentros de la mujer gestante y lactante se beneficiaron 53 mujeres , . Se está desarrollando la campaña “Rescatando Sonrisas” en conmemoración a la lucha contra el cáncer infantil.</t>
  </si>
  <si>
    <t>Para este periodo  no se realizron eventos  recreativos de ciudad  de carácter local, nacional e internacional .</t>
  </si>
  <si>
    <t xml:space="preserve">
. Reuniones de comité y equipo de trabajo, para la presentación de las estrategias en las convocatorias de entrega de estímulos y/o apoyos a las organizaciones deportivas y deportistas de altos logros.   . Se realizo reunión de comité para presentar los referentes a las convocatorias de PAFID y PADAL y Organismos Deportivos. Así mismo se realizaron los ajustes requeridos por parte de los asesores del área de deporte para la aprobación del comité.  .. Se realizo la primera y segunda socialización de los términos de referencia de nuestra convocatoria pública del programa de apoyo a deportistas de altos logros PADAL-PAFID y futuros ídolos del deporte que tendrá apertura el 11 de marzo.</t>
  </si>
  <si>
    <t xml:space="preserve"> .Se realizaron reuniones para adelantar la consolidación de convenios de cooperación con el SENA y el Tecnológico Comfenalco. (Anexo 6).  . Se agendaron reuniones con la Universidad San Buenaventura y El Colegio Mayor de Bolívar para adelantar conversaciones para la cooperación.  .Se estructuró el plan temático preliminar sobre el cual se desarrollarán las capacitaciones y eventos durante el 2022. (Anexo 7). </t>
  </si>
  <si>
    <t xml:space="preserve">El día 26 de enero de 2022, a través del Comité Intictucional de Gestión y Desempeño se aprobaron los 12 planes del Decreto No. 612 del 2018  a los cuales se le hará seguimiento trimestralmente  y estos segumiento son socializados en  el  Comité Institucional  de Gestión y Desempeño .
</t>
  </si>
  <si>
    <t>Se elaboró la estructura documental sobre la que se fortalecerá y ampliará el diagnóstico sobre el deporte como patrimonio y como herramienta para la cohesión social de Cartagena. (Anexo 5).</t>
  </si>
  <si>
    <t>.</t>
  </si>
  <si>
    <t xml:space="preserve">• Se elaboró la presentación de la caracterización demográfica de Cartagena y se presentó a la dirección. (Anexo 1)
• Se elaboró el documento de Caracterización Demográfica de Cartagena. (Anexo 2)
• Se estructuró el formato de identificación de Registros Administrativos – RR.AA. y su  respectiva ficha técnica. (Anexo 3)
• Se georreferenciaron los escenarios deportivos según su estado (Anexo 4). </t>
  </si>
  <si>
    <t xml:space="preserve">• Se otorgaron en el mes de enero de 2022 152  permisos. • Se mantuvo el cumplimiento de los protocolos de bioseguridad en los escenarios deportivos.A corte de 31 de enero de 2022  se ha beneficiado un total de 4.831 personas de las cuales: Deportistas 1.592, Entrenadores 308,  2.19 Administradores y 2.712 Aficionados . </t>
  </si>
  <si>
    <t>Se esta trabjajo en la oganización y planeación del cronograma a desarrollar en la vigencia 2022 .</t>
  </si>
  <si>
    <t>Observación  de  Febrero de 2022 - https://1drv.ms/u/s!Anwc80W2tGSOaDSsk3fGNb0RSPo?e=x5PjFh</t>
  </si>
  <si>
    <t>Se realiza topografía cancha Chiquinquirá, Equipo C2M ejecutó alrededores de mantenimiento alrededor de la Villa Olímpica y en el interior de los escenario que la componen actividades de cableado y plomería.Hasta la fecha se la han realizado mantenimientos preventivos recurentes a ciento  treinta y dos (132 ) unidades deportivas al menos una (1) vez durante el transcurso de la vigencia. (Localidad No.1 : 61, Localidad No.2: 73, Localidad  No.3: 40 escenarios deportivos ) . Del contrato conocido como los "43" del año 2021  , se incluyen mejoramiento a 41  unidades deportivas y reconstrucción de  dos escenarios deportivos se cuenta con un avance general del 47%. a febrero de 2022.</t>
  </si>
  <si>
    <t>El Proyecto de Tierra Baja., se trabajó en el mes de  febrero en las observaciones  del Ministerio del Deporte  y se espera presentarse en el mes de marzo a través de OCAD PAZ . En el marco del contrato de los "43" , los escenarios en reconstrucción son: Cancha múltiple -Olaya Herrera Sector Central Calle Colombia y Estadio de Softbol de Villa Rubia ambos con un avance del 70% a febrero 18 de 2022. Se están realizando acercamientos con la empressa Ecopetrol para conseguir finanaciación de proeyctos de infraestructura deportiva .</t>
  </si>
  <si>
    <t xml:space="preserve"> Se otorgaron en el mes de enero de 2022 152  permisos, en el mes de febrero 398  permisos . Se mantuvo el cumplimiento de los protocolos de bioseguridad en los escenarios deportivos.</t>
  </si>
  <si>
    <t>A corte de 31 de enero de 2022  se ha beneficiado un total de 4.831 personas de los cuales: Deportistas 1.592, Entrenadores 308,  2.19 Administradores y 2.712 Aficionados . A 28 de febrero de 2022 se beneficiaron  de los cuales : Deportitas 5.063, Entrenadores 1.059, Administrativos 943 y 4.159 Aficionados.  Para un total entre enero y febrero de 11.224 personas .</t>
  </si>
  <si>
    <t>REPORTE META PRODUCTO  ACUMULADO  DE ENERO  A DE  MARZO 2022</t>
  </si>
  <si>
    <t xml:space="preserve">%de avance Enero a Marzo  Meta año 2022 </t>
  </si>
  <si>
    <t>% de avance del programa de Enero a Marzo  de  2022</t>
  </si>
  <si>
    <t>%Avance Técnico de los programas a corte de enero a febrero 2022</t>
  </si>
  <si>
    <t>REPORTE DE ACTIVIDADES A CORTE DE  ENERO A  MARZO DE 2022</t>
  </si>
  <si>
    <t xml:space="preserve">% Avances de Actividades  en los proyectos a corte de Enero a  Febrero  de 2022 </t>
  </si>
  <si>
    <t xml:space="preserve">% Avances de Actividades  en los proyectos a corte de Enero a  Marzo  de 2022 </t>
  </si>
  <si>
    <t>N//A</t>
  </si>
  <si>
    <t>Observación  de  Marzo de 2022 - https://1drv.ms/u/s!Anwc80W2tGSOaDSsk3fGNb0RSPo?e=x5PjFh</t>
  </si>
  <si>
    <t>En el mes de marzo  de 2022 se llevo a cabo un evento que apoyo el IDER  " La  Copa Elite Colombiana (Tigres, Toros, Tiburones y Águilas)" el evento se realizó en el Estadio Abel Leal Diaz, donde tiene proyectado realizar 120 partidos. El instituto está presente este importante evento Beisbolero.</t>
  </si>
  <si>
    <t xml:space="preserve">Se inicio la convocatoria para entrega de estímulos a deportistas convencionales y no convencionales, por medio de la resolución N° 051 del 09 de marzo de 2022.  Se inscribieron 554 deportistas entre PADAL y PAFID .La distribución fue la siguinete  PADAL CONVENCIONAL=251  y PADAL NO CONVENIOCNAL= 65  asi como PAFID CONVENCIONAL = 237 y PAFID NO CONVENcioNCAL= 1 (Acta de publicación de inscritos a la convocatoria efectuadamediante resolución 051 del 2022 -31 de marzo de 2022) , posteriormente a esta inscripción se continurá con el proceso de selección asi como también se realizó con el equipo de comunicaciones diferentes estrategias de divulgación y promoción para promocionar las convocatorias de PADAL y PAFID. </t>
  </si>
  <si>
    <t xml:space="preserve"> Visitas de control y seguimientos a los diferentes puntos del programa por parte de los coordinadores 
 Reuniones semanales con los equipos de EIFD  
 Apoyo en día mundial de agua de Cartagena con la participación de niños de la EIFD 
 Apoyo al torneo de futbol organizado por la empresa de energía Isa con la participación de nuestros docentes de futbol en la logística del evento.
 Talleres y visitas psicosociales e interdisciplinarias dirigidos a los padres de familia y niños en los diferentes núcleos. énfasis y perfeccionamiento de la EIFD- IDER.
 Atención a casos específicos, a través de visitas domiciliarias, atención en oficina, visitas psicosociales. 
 Apoyo y participación en ofertas institucionales, con el objetivo de dar a conocer el programa y masificar los puntos. (Nelson mándela sector villa hermosa y Campo bello) 
 Perifoneo, Articulación con JAC, Instituciones educativas y jornadas de inscripción en pun-tos priorizados por baja asistencia, en el marco del cronograma de inscripciones. 
 Asistencia y participación en reunión con la universidad de santa buenaventura para desarro-llo de proyecto. 
 Apoyo a proceso de entrega de dotación deportiva a docentes. 
 Participación en actividades propuestas desde todas las áreas del instituto (Cartagena juega limpio por el deporte). Se cierra la jornada de inscripción con 3.852 NN nuevos y con 6.548 antiguos para un total 10.400 NNA en base dato, pasando la meta del 3% que se proyecto para el año 2022.de esta forma podemos observar el impacto y el reconocimiento del proyecto ante la comunidad 
</t>
  </si>
  <si>
    <t xml:space="preserve"> El 7 de marzo se llevó a cabo la primera socialización de representantes de ligas y clubes la invitación a participar en la entrega de apoyos a organismos deportivos, la cual se realizó en el complejo de Raquetas.Se inicio el proceso para postularse a la entrega de apoyos a organismos deportivos, por medio de la invitación emitida el 17 de marzo del 2022 por la página web institucional., de esta primera invitación se inscribieron 56 organimsos deportivos , los cuales se distribuyen en : 1. Ligas= 5, 2. Clubes: 51 divididos de la siguiente forma: Clubes=43, Clubes no afiliados a organismos superior = 1 y Clubes deportivos de reciente creación=7 . Asi como también se realizó con el equipo de comunicaciones diferentes estrategias de divulgación y promoción para promocionar la invitación a participar en la entrega de apoyos a organismos deportivos vigentes.
</t>
  </si>
  <si>
    <t xml:space="preserve">1. El día 8 de marzo, se realizó reunión con la directora del instituto. Dra. Viviana Londoño, el director de Fomento, el jefe de área de deporte, el equipo de trabajo de deporte estudiantil y el área de prensa; con el fin dar a conocer los procesos y acciones que den cumplimiento al plan de acción en la realización de los juegos Intercolegiados. Se realizo la presentación de las estrategias a propuestas por equipo de trabajo. 
2. El día 16 de marzo, se convocó una reunión asistieron representantes de la secretaria de educación junto con su directora Dra. Olga Acosta, así mismo asistió la directora del Instituto Dra. Viviana Londoño, el director de fomento Dr. William Marrugo, el jefe de deporte Gustavo González y el coordinador del programa Hugo Bedoya. Se presentaron las estrategias que desde el instituto IDER se tienen para realización de los juegos Intercolegiados en la vigencia 2022.
3. Se programaron e iniciaron las vistas a las EI, para socializar y apoyar el proceso de inscripción de las Instituciones Educativas y los estudiantes a los juegos Intercolegiados. A la fecha se han visitado 121 EI del distrito. 
4. Se realizo reunión de socialización con el equipo de trabajo de EIFD, donde se dieron a conocer los referentes de los juegos Intercolegiados, en su proceso y etapa de inscripción. La reunión se realizo el 17 de marzo del 2022.  
Se han realizado campañas de socialización en las Instituciones educativas oficiales y no oficiales, con el fin de dar a conocer los procesos de inscripción a los juegos Intercolegiados, logrando que todos los colegios del distrito se informen y puedan participar de este evento. </t>
  </si>
  <si>
    <t>Se aperturó un nuevo núcleo en el corregimiento de Punta Canoa .</t>
  </si>
  <si>
    <t xml:space="preserve">APROPIACION DEFINITIVA A CORTE  DE ENERO A  MARZO DE 2022 </t>
  </si>
  <si>
    <t xml:space="preserve">REPORTE EJECUCIÓN PRESUPUESTAL CORTE DE ENERO A  MARZO DE 2022 </t>
  </si>
  <si>
    <t xml:space="preserve">% EJECUCIÓN PRESUPUESTAL CORTE  DE ENERO A  MARZO DE 2022 </t>
  </si>
  <si>
    <t>%Avance Técnico de los programas a corte de Enero a Marzo  2022</t>
  </si>
  <si>
    <t>Porcentaje de Participación de la Actividad en el Proyecto a corte  de Enero a  Marzo  de 2022</t>
  </si>
  <si>
    <t>En este primer trimestre del año 2022 , no se llevaron a cabo eventos recreativos de ciudad .</t>
  </si>
  <si>
    <r>
      <rPr>
        <b/>
        <sz val="11"/>
        <color theme="1"/>
        <rFont val="Calibri"/>
        <family val="2"/>
        <scheme val="minor"/>
      </rPr>
      <t xml:space="preserve">  APROVECHAMIENTO DEL ESPACIO PÚBLICO: </t>
    </r>
    <r>
      <rPr>
        <sz val="11"/>
        <color theme="1"/>
        <rFont val="Calibri"/>
        <family val="2"/>
        <scheme val="minor"/>
      </rPr>
      <t>En el mes de abril, se realizará el lanzamiento de la estrategia playas recreativas y la estrategia ciclovía dominical VAS.</t>
    </r>
    <r>
      <rPr>
        <b/>
        <sz val="11"/>
        <color theme="1"/>
        <rFont val="Calibri"/>
        <family val="2"/>
        <scheme val="minor"/>
      </rPr>
      <t xml:space="preserve">
CAMPAMENTOS JUVENILES: </t>
    </r>
    <r>
      <rPr>
        <sz val="11"/>
        <color theme="1"/>
        <rFont val="Calibri"/>
        <family val="2"/>
        <scheme val="minor"/>
      </rPr>
      <t>1. A la fecha estamos realizando las inscripciones de los campistas al Proyecto por medio de un formulario de Google Drive. 2. Hemos ofertado el proyecto Campamentos Juveniles en 7 Instituciones educativas, como el servicio social obligatorio para el cumplimiento de las 80 horas de servicio comunitario (I. E. Escuela Normal Superior, I. E. Olga González Arraut, I. E. Ambientalista, I. E. Foco Rojo, I. E. Las Palmeras, I. E. Juan José Nieto, I. E. Nuestra Señora del Carmen, Fe y Alegría Las Américas). 3. Se ha participado en las dos jornadas de Juégale Limpio al Deporte, organizado por el IDER (Estadio de beisbol menor Daniel Ortiz Sánchez - Daniel Lemaitre y Unidad Deportiva Fidel Mendoza Carrasquilla - Olaya Herrera sector 11 de Noviembre) 4. Aproximadamente el 80% de los participantes del Proyecto son nuevos</t>
    </r>
    <r>
      <rPr>
        <b/>
        <sz val="11"/>
        <color theme="1"/>
        <rFont val="Calibri"/>
        <family val="2"/>
        <scheme val="minor"/>
      </rPr>
      <t>. ESCUELA RECREATIVA</t>
    </r>
    <r>
      <rPr>
        <sz val="11"/>
        <color theme="1"/>
        <rFont val="Calibri"/>
        <family val="2"/>
        <scheme val="minor"/>
      </rPr>
      <t>: 1. En las atenciones realizadas a la población se beneficiaron 143 agentes educativos. 2. Se realizo carnaval lúdico en el corregimiento de Pasacaballo donde se impactaron 148 niños 3. En el taller de elaboración de juguetes realizado en el mes de marzo se beneficiaron 10
personas (agentes educativos) en el corregimiento de Bocachica  4. Se realizaron 11 talleres de estimulación temprana donde se impactaron 248 personas (madres gestantes y lactantes) 5. Se realizo talleres de nutrición y escuelas para padres, donde se impactó un total de 301 personas en los corregimientos de Bocachica, Membrillal y Pasacaballos.</t>
    </r>
    <r>
      <rPr>
        <b/>
        <sz val="11"/>
        <color theme="1"/>
        <rFont val="Calibri"/>
        <family val="2"/>
        <scheme val="minor"/>
      </rPr>
      <t xml:space="preserve"> RECREACIÓN PARA TODOS :</t>
    </r>
    <r>
      <rPr>
        <sz val="11"/>
        <color theme="1"/>
        <rFont val="Calibri"/>
        <family val="2"/>
        <scheme val="minor"/>
      </rPr>
      <t xml:space="preserve"> Desde la Red de apoyo creada para la persona mayor en atención integral, liderada por la secretaria de participación y desarrollo social con su programa de persona mayor y las diferentes entidades como, Alcaldía local 1 secretaria de educación y demás entidades se conversó sobre la estrategia persona mayor "nuevo comienzo" para poder sacarla adelante con esta red de apoyo de manera mancomunada con las diferentes entidades que hacen parte de esta
</t>
    </r>
  </si>
  <si>
    <r>
      <rPr>
        <b/>
        <sz val="14"/>
        <color theme="1"/>
        <rFont val="Arial Narrow"/>
        <family val="2"/>
      </rPr>
      <t>TRANSFORMACIÓN DE ENTORNOS SALUDABLES : En el mes de marzo seguimos consolidando el trabajo de nuestro proyecto, seguimos impulsando las actividades en los centros penitenciarios y carcelarios, así como escuela saludable. MEJORAMIENTO DE LOS ESTILOS DE VIDA MEDIANTE LA PROMOCION MASIVA DE UNA VIDA ACTIVA DE LA CIUDADANÍA :</t>
    </r>
    <r>
      <rPr>
        <sz val="14"/>
        <color theme="1"/>
        <rFont val="Arial Narrow"/>
        <family val="2"/>
      </rPr>
      <t xml:space="preserve"> 1. Se realizó la campaña Por Ti Mujer, en conmemoración del mes de la mujer el día el 8 de marzo, se desarrollaron eventos de promoción y concentración en nuestros puntos de actividad física dirigida musicalizada.2. En el mes de marzo se realizaron 14 eventos de Promoción y 16 eventos de Concentración. </t>
    </r>
    <r>
      <rPr>
        <b/>
        <sz val="14"/>
        <color theme="1"/>
        <rFont val="Arial Narrow"/>
        <family val="2"/>
      </rPr>
      <t xml:space="preserve">MODERNIZACION DEL CENTRO DE ACONDICIONAMIENTO FISICO-CAF: </t>
    </r>
    <r>
      <rPr>
        <sz val="14"/>
        <color theme="1"/>
        <rFont val="Arial Narrow"/>
        <family val="2"/>
      </rPr>
      <t xml:space="preserve"> .1. El Centro de Acondicionamiento Físico CAF – IDER se encuentra en plan de modernización y mantenimiento de máquinas y elementos. 2. A fecha de marzo 31, se impactan cinco (5) parques biosaludables del Distrito de Cartagena, en los barrios de Bruselas, El Socorro Plan 50, La Plazuela, Nuevo Paraíso Sector Alameda y Ciudad Jardín.
</t>
    </r>
  </si>
  <si>
    <t>Se realizó un evento de hábitos y estilos de vida saludable: La carrera Running Rio de Atletas II versión, se inscribieron 474 personas, un total de 314 participantes no pertenecen a nuestros proyectos</t>
  </si>
  <si>
    <t>Se realizó un evento de hábitos y estilos de vida saludable: Una (1) La carrera Running Rio de Atletas II versión, se inscribieron 474 personas, un total de 314 participantes no pertenecen a nuestros proyectos</t>
  </si>
  <si>
    <t xml:space="preserve">Se realizaron las reuniones semanales con el equipo de trabajo, donde se siguen trataron los temas correspondientes a la acciones y estrategias planteadas para el cumplimiento de las metas en esta vigencia. 
El equipo de trabajo apoyo el trabajo de organización de planillas de inscripción para su respectiva revisión física por el ente ejecutor de los Juegos Comunales 2021.
Así mismo el equipo organizó y folió las planillas y actas de entrega de los implementos y uniformes correspondientes a la vigencia 2021, para la revisión del operador ejecutor de los Juegos Comunales.
Las estrategias han realizado acercamiento a las diferentes comunidades para dar a conocer la oferta institucional y acciones a ejecutar en esta vigencia. Se asistió y presento oferta institucional en “Salvemos a Cartagena” en el barrio Boston sector el pueblito, donde la comunidad conoció la estrategia institucional de los juegos comunales del programa deporte social comunitario, se realizaron actividades recreativas y deportivas con los niños y niñas de la comunidad.  Como cierre de la actividad se ofreció un partido de futbol los jóvenes en riesgo del sector. 
Se continúan las actividades de acampamiento y supervisión en las estrategias de juegos de discapacidad y juegos carcelarios, en el cumplimento de las acciones establecidas en las metas del plan de acción y las actividades desarrolladas en los comités interinstitucional que priorizan estas poblaciones. 
</t>
  </si>
  <si>
    <t xml:space="preserve">Se realizaron las reuniones semanales con el equipo de trabajo, donde se siguen trataron los temas correspondientes a la acciones y estrategias planteadas para el cumplimiento de las metas en esta vigencia. 
El equipo de trabajo apoyo el trabajo de organización de planillas de inscripción para su respectiva revisión física por el ente ejecutor de los Juegos Comunales 2021.
Así mismo el equipo organizó y folió las planillas y actas de entrega de los implementos y uniformes correspondientes a la vigencia 2021, para la revisión del operador ejecutor de los Juegos Comunales.
Las estrategias han realizado acercamiento a las diferentes comunidades para dar a conocer la oferta institucional y acciones a ejecutar en esta vigencia. Se asistió y presento oferta institucional en “Salvemos a Cartagena” en el barrio Boston sector el pueblito, donde la comunidad conoció la estrategia institucional de los juegos comunales del programa deporte social comunitario, se realizaron actividades recreativas y deportivas con los niños y niñas de la comunidad.  Como cierre de la actividad se ofreció un partido de futbol los jóvenes en riesgo del sector. 
Se continúan las actividades de acampamiento y supervisión en las estrategias de juegos de discapacidad y juegos carcelarios, en el cumplimento de las acciones establecidas en las metas del plan de acción y las actividades desarrolladas en los comités interinstitucional que priorizan estas poblaciones. </t>
  </si>
  <si>
    <t xml:space="preserve">Hasta la fecha se la han realizado mantenimientos a ciento  setenta y uno (171 ) (Localidad 1:45, localidad No.2: 59, Localidad No3: 55, se realiza el pago de facturas de servicios públicos hasta el mes de febrero. Para el mes de enero se respondieron siete (7) PQRSD:
1. Respuesta solicitud de Contraloría General de la República.
2. Respuesta solicitud secretaría de Infraestructura Distrital.
3. Informe dentro de la Acción Popular de Olaya Sector Central.
4. Respuesta solicitud máquinas biosaludables-El Socorro.
5. Respuesta petición Cancha Martinez Martelo.
6. Requerimientos Concejo Distrital.
7. Respuesta campo deportivo de Fredonia.
Se realizaron dos (2) comisiones a:
 1. Campo deportivo de Fredonia.
 2. Verificación Isoptica campo de softbol Martínez Martelo
En contrato de los «43» se encuentra en estado suspendió hasta el 5 de abril de 2022. Se avanza en los procesos de adquisición de combustibles y lubricantes, si como
de servicio de transporte. Se define la adquisición de químicos de piscina, equipos para mantenimiento de escenarios y agroquímicos por Bolsa Mercantil. Equipo C2M apoyó de mantenimiento eléctrico en Jaime Morón y Coliseo de
Combate (registraduría), limpieza y pintura en la villa olimpica, campo de softbol los caracoles, patinódromo, complejo de raquetas. Actividades de plomeria en Abel Leal.Se realiza topografía cancha Estadio de Pasacaballos y Cancha de la Bocachica.
. </t>
  </si>
  <si>
    <t xml:space="preserve">• Definición de aspectos teórico-conceptuales y metodológicos de la investigación. 
• Revisión bibliográfica para determinar el estado del arte de investigaciones en memoria histórica y del deporte como patrimonio. 
• Estructuración del diseño muestral para la investigación y se estableció la población objetivo. 
• Estructuración del marco teórico y justificación de la investigación. 
• Diseño de instrumento con preguntas orientadoras
• Justificación técnica de la implementación y caracterización de las piezas de memoria histórica que se están planteando para este año
</t>
  </si>
  <si>
    <t xml:space="preserve">• Se definió la propuesta de plan de adquisiciones del Observatorio de Ciencias Aplicadas al Deporte </t>
  </si>
  <si>
    <t>Se está revisando el convenio con la Institución Universitaria Mayor de Bolívar con el que se busca consolidar 4 becas del 100% a deportistas de altos logros y a la cooperación en el préstamo de escenarios para el desarrollo de actividades deportivas y recreativas de la comunidad estudiantil y egresados.</t>
  </si>
  <si>
    <t>En el marco de la gestión de alianzas, se remitieron los reportes de reuniones y los borradores de convenios de la USB y la UMAYOR a la oficina jurídica para su revisión el 14 de marzo de 2022. El convenio de la USB ya se encuentra aprobado para firma, el cual será enviado el 1 de abril después de la constatación de los parámetros acordados.</t>
  </si>
  <si>
    <t xml:space="preserve">En este componente se solicitó una primera mesa de trabajo para concretar la propuesta de plan de trabajo del semillero DRAFAT pero no se pudo concretar por disponibilidad del representante de la USB. Se está delimitando una propuesta de trabajo extendida para la socialización vía e-mail y concretar el encuentro para su validación. 
 Durante el mes de marzo de 2022 se han estado ajustando los planes de trabajo para vincular el proceso de construcción de la política pública del deporte y la recreación del distrito de Cartagena, en este sentido se presentó una propuesta de articulación de los componentes y fases de la PP para vincularlos al plan de trabajo del proyecto de inversión y se han desarrollado los encuentros con CONPES D. T. y C. para la orientación técnico-metodológica del ciclo de política pública .                                                                                                                                                                                                                                                                                          Dentro del proceso de diseño, construcción e implementación de un Sistema de Información del Deporte y la Recreación - SIDR (banco de datos) se desarrollaron las siguientes actividades:
• Se envió comunicado conjunto entre el Observatorio y la Oficina Asesora de Planeación para el desarrollo de la etapa de identificación de Registros Administrativos el 3 de marzo de 2022. 
• Se desarrollaron mesas de trabajo con cada área del IDER para la gestión de los Registros Administrativos.
• Se sistematizó la información poblacional de Cartagena de Indias según su división político – administrativa y se atendieron las siguientes solicitudes de información: 
o Ajuste y validación de datos poblacionales del brochure de proyectos del área de infraestructura del IDER.
o Entrega de información demográfica de los corregimientos de Cartagena al proyecto Deporte Social Comunitario.
o Entrega de información demográfica del corregimiento de Pasacaballos para la estructuración del proyecto “Sembrando Semillas” en alianza con ECOPETROL .
o Entrega de información demográfica georreferenciada del impacto de 6 escenarios deportivos de Cartagena para cubrir solicitud de ACUACAR.
• Se desarrollaron las siguientes reuniones: 
o Reunión con representantes de ESRI para la definición de requerimientos de Software para el SIDR. 
o Reunión para la estructuración de propuesta de operación estadística de caracterización de cubes deportivos del distrito.
</t>
  </si>
  <si>
    <r>
      <t xml:space="preserve"> Se otorgaron en el mes de enero : 152  permisos, en el mes de febrero: 398  permisos, en el mes de marzo</t>
    </r>
    <r>
      <rPr>
        <sz val="14"/>
        <color rgb="FFFF0000"/>
        <rFont val="Arial Narrow"/>
        <family val="2"/>
      </rPr>
      <t xml:space="preserve"> </t>
    </r>
    <r>
      <rPr>
        <sz val="14"/>
        <rFont val="Arial Narrow"/>
        <family val="2"/>
      </rPr>
      <t xml:space="preserve">575 </t>
    </r>
    <r>
      <rPr>
        <sz val="14"/>
        <color rgb="FF000000"/>
        <rFont val="Arial Narrow"/>
        <family val="2"/>
      </rPr>
      <t>permisos  Se mantuvo el cumplimiento de los protocolos de bioseguridad en los escenarios deportivos. Para un total de permisos otorgados  de 1.125 en el primer trimestre del año 2022.</t>
    </r>
  </si>
  <si>
    <r>
      <t xml:space="preserve">A corte de 31 de enero de 2022  se ha beneficiado un total de 4.831 personas de los cuales: Deportistas 1.592, Entrenadores 308,  2.19 Administradores y 2.712 Aficionados . A 28 de febrero de 2022 se beneficiaron  de los cuales fueron: Deportitas 5.063, Entrenadores 1.059, Administrativos 943 y 4.159 Aficionados. A 31 de marzo de 2022 se beneficiaron a las siguientes personas: </t>
    </r>
    <r>
      <rPr>
        <sz val="14"/>
        <color rgb="FFFF0000"/>
        <rFont val="Arial Narrow"/>
        <family val="2"/>
      </rPr>
      <t xml:space="preserve"> </t>
    </r>
    <r>
      <rPr>
        <sz val="14"/>
        <rFont val="Arial Narrow"/>
        <family val="2"/>
      </rPr>
      <t>Deportistas:10.489, Entrenadores: 2.671, Administrativos:1.985y Aficionados 4.679  Para un total entre enero  a marzo de 19.824 personas beneficiiadas.</t>
    </r>
  </si>
  <si>
    <t>El Proyecto de Tierra Baja., se  esta trabjando los nuevos ajustes para la presentación ante el  Ministrio del Deporte, para el año 2022 se reconstruirá las canchas de Chiquinquirá -Pedro Romero y Chiquinquirá- Pedro de Heredia , Durante el mes de marzo se trabajo en la formulación y presupuesto del proyecto del Campo de Softbol de Pasacaballos asi como también se pretende  formular y elaborar un proyecto de escenario deportivo en la zona insular ( Caño de Oro).</t>
  </si>
  <si>
    <t xml:space="preserve">Posteriormente a la selección de los organismos deportivos : Ligas y clubes , de acuerdo a la proyeccion de los años anteriores se espera para la vigencia del año 2022 beneficiar a 1.619 deportitas aproximadamente.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</si>
</sst>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quot;$&quot;\ * #,##0_-;\-&quot;$&quot;\ * #,##0_-;_-&quot;$&quot;\ * &quot;-&quot;_-;_-@_-"/>
    <numFmt numFmtId="165" formatCode="_-* #,##0.00_-;\-* #,##0.00_-;_-* &quot;-&quot;??_-;_-@_-"/>
    <numFmt numFmtId="166" formatCode="_-* #,##0_-;\-* #,##0_-;_-* &quot;-&quot;??_-;_-@_-"/>
    <numFmt numFmtId="167" formatCode="0;[Red]0"/>
  </numFmts>
  <fonts count="21" x14ac:knownFonts="1">
    <font>
      <sz val="11"/>
      <color theme="1"/>
      <name val="Calibri"/>
      <family val="2"/>
      <scheme val="minor"/>
    </font>
    <font>
      <sz val="11"/>
      <color theme="1"/>
      <name val="Calibri"/>
      <family val="2"/>
      <scheme val="minor"/>
    </font>
    <font>
      <sz val="14"/>
      <color theme="1"/>
      <name val="Arial Narrow"/>
      <family val="2"/>
    </font>
    <font>
      <b/>
      <sz val="14"/>
      <color theme="1"/>
      <name val="Arial Narrow"/>
      <family val="2"/>
    </font>
    <font>
      <b/>
      <sz val="14"/>
      <color theme="1" tint="4.9989318521683403E-2"/>
      <name val="Arial Narrow"/>
      <family val="2"/>
    </font>
    <font>
      <b/>
      <sz val="14"/>
      <name val="Arial Narrow"/>
      <family val="2"/>
    </font>
    <font>
      <sz val="14"/>
      <color rgb="FF000000"/>
      <name val="Arial Narrow"/>
      <family val="2"/>
    </font>
    <font>
      <sz val="14"/>
      <color theme="1" tint="4.9989318521683403E-2"/>
      <name val="Arial Narrow"/>
      <family val="2"/>
    </font>
    <font>
      <sz val="14"/>
      <name val="Arial Narrow"/>
      <family val="2"/>
    </font>
    <font>
      <b/>
      <sz val="14"/>
      <color theme="1"/>
      <name val="Calibri Light"/>
      <family val="2"/>
      <scheme val="major"/>
    </font>
    <font>
      <sz val="11"/>
      <color theme="1" tint="4.9989318521683403E-2"/>
      <name val="Arial Narrow"/>
      <family val="2"/>
    </font>
    <font>
      <b/>
      <sz val="18"/>
      <color theme="1"/>
      <name val="Arial Narrow"/>
      <family val="2"/>
    </font>
    <font>
      <sz val="11"/>
      <color theme="1"/>
      <name val="Arial Narrow"/>
      <family val="2"/>
    </font>
    <font>
      <sz val="10"/>
      <color theme="1"/>
      <name val="Arial Narrow"/>
      <family val="2"/>
    </font>
    <font>
      <sz val="10"/>
      <color theme="1" tint="4.9989318521683403E-2"/>
      <name val="Arial Narrow"/>
      <family val="2"/>
    </font>
    <font>
      <b/>
      <sz val="16"/>
      <color theme="1"/>
      <name val="Arial Narrow"/>
      <family val="2"/>
    </font>
    <font>
      <b/>
      <sz val="11"/>
      <color theme="1"/>
      <name val="Arial Narrow"/>
      <family val="2"/>
    </font>
    <font>
      <b/>
      <sz val="12"/>
      <color theme="1"/>
      <name val="Arial Narrow"/>
      <family val="2"/>
    </font>
    <font>
      <b/>
      <sz val="11"/>
      <color theme="1"/>
      <name val="Calibri"/>
      <family val="2"/>
      <scheme val="minor"/>
    </font>
    <font>
      <sz val="12"/>
      <color theme="1"/>
      <name val="Arial Narrow"/>
      <family val="2"/>
    </font>
    <font>
      <sz val="14"/>
      <color rgb="FFFF0000"/>
      <name val="Arial Narrow"/>
      <family val="2"/>
    </font>
  </fonts>
  <fills count="13">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0"/>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5" tint="0.79998168889431442"/>
        <bgColor indexed="64"/>
      </patternFill>
    </fill>
  </fills>
  <borders count="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165" fontId="1" fillId="0" borderId="0" applyFont="0" applyFill="0" applyBorder="0" applyAlignment="0" applyProtection="0"/>
    <xf numFmtId="9" fontId="1" fillId="0" borderId="0" applyFont="0" applyFill="0" applyBorder="0" applyAlignment="0" applyProtection="0"/>
  </cellStyleXfs>
  <cellXfs count="199">
    <xf numFmtId="0" fontId="0" fillId="0" borderId="0" xfId="0"/>
    <xf numFmtId="0" fontId="2" fillId="0" borderId="0" xfId="0" applyFont="1" applyAlignment="1">
      <alignment vertical="center" wrapText="1"/>
    </xf>
    <xf numFmtId="166" fontId="2" fillId="0" borderId="0" xfId="1" applyNumberFormat="1" applyFont="1" applyAlignment="1">
      <alignment vertical="center" wrapText="1"/>
    </xf>
    <xf numFmtId="0" fontId="3" fillId="0" borderId="2" xfId="0" applyFont="1" applyBorder="1" applyAlignment="1">
      <alignment horizontal="center" vertical="center" wrapText="1"/>
    </xf>
    <xf numFmtId="166" fontId="3" fillId="0" borderId="2" xfId="1" applyNumberFormat="1" applyFont="1" applyBorder="1" applyAlignment="1">
      <alignment horizontal="center" vertical="center" wrapText="1"/>
    </xf>
    <xf numFmtId="0" fontId="3" fillId="2" borderId="2"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3" borderId="2" xfId="0" applyFont="1" applyFill="1" applyBorder="1" applyAlignment="1">
      <alignment horizontal="center" vertical="center" wrapText="1"/>
    </xf>
    <xf numFmtId="167" fontId="3" fillId="0" borderId="2" xfId="0" applyNumberFormat="1" applyFont="1" applyBorder="1" applyAlignment="1">
      <alignment horizontal="center" vertical="center" wrapText="1"/>
    </xf>
    <xf numFmtId="0" fontId="5" fillId="0" borderId="2" xfId="0" applyFont="1" applyBorder="1" applyAlignment="1">
      <alignment horizontal="center" vertical="center" wrapText="1"/>
    </xf>
    <xf numFmtId="0" fontId="5" fillId="2" borderId="2" xfId="0" applyFont="1" applyFill="1" applyBorder="1" applyAlignment="1">
      <alignment horizontal="center" vertical="center" wrapText="1"/>
    </xf>
    <xf numFmtId="164" fontId="3" fillId="0" borderId="2" xfId="0" applyNumberFormat="1" applyFont="1" applyBorder="1" applyAlignment="1">
      <alignment horizontal="center" vertical="center" wrapText="1"/>
    </xf>
    <xf numFmtId="164" fontId="3" fillId="2" borderId="2" xfId="0" applyNumberFormat="1" applyFont="1" applyFill="1" applyBorder="1" applyAlignment="1">
      <alignment horizontal="center" vertical="center" wrapText="1"/>
    </xf>
    <xf numFmtId="0" fontId="2" fillId="0" borderId="0" xfId="0" applyFont="1" applyAlignment="1">
      <alignment horizontal="center" vertical="center" wrapText="1"/>
    </xf>
    <xf numFmtId="0" fontId="7" fillId="0" borderId="0" xfId="0" applyFont="1" applyAlignment="1">
      <alignment horizontal="center" vertical="center" wrapText="1"/>
    </xf>
    <xf numFmtId="1" fontId="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8" fillId="0" borderId="0" xfId="0" applyFont="1" applyAlignment="1">
      <alignment horizontal="center" vertical="center" wrapText="1"/>
    </xf>
    <xf numFmtId="164" fontId="2" fillId="0" borderId="0" xfId="0" applyNumberFormat="1" applyFont="1" applyAlignment="1">
      <alignment horizontal="center" vertical="center" wrapText="1"/>
    </xf>
    <xf numFmtId="14" fontId="2" fillId="0" borderId="0" xfId="0" applyNumberFormat="1" applyFont="1" applyAlignment="1">
      <alignment vertical="center" wrapText="1"/>
    </xf>
    <xf numFmtId="165" fontId="2" fillId="0" borderId="0" xfId="1" applyFont="1" applyAlignment="1">
      <alignment vertical="center" wrapText="1"/>
    </xf>
    <xf numFmtId="1" fontId="3" fillId="0" borderId="2" xfId="0" applyNumberFormat="1" applyFont="1" applyBorder="1" applyAlignment="1">
      <alignment horizontal="center" vertical="center" wrapText="1"/>
    </xf>
    <xf numFmtId="0" fontId="2" fillId="0" borderId="2" xfId="0" applyFont="1" applyFill="1" applyBorder="1" applyAlignment="1">
      <alignment vertical="center" wrapText="1"/>
    </xf>
    <xf numFmtId="166" fontId="2" fillId="0" borderId="2" xfId="1" applyNumberFormat="1" applyFont="1" applyFill="1" applyBorder="1" applyAlignment="1">
      <alignment vertical="center" wrapText="1"/>
    </xf>
    <xf numFmtId="0" fontId="6" fillId="0" borderId="2" xfId="0" applyFont="1" applyFill="1" applyBorder="1" applyAlignment="1">
      <alignment vertical="center" wrapText="1"/>
    </xf>
    <xf numFmtId="166" fontId="2" fillId="0" borderId="2" xfId="1" applyNumberFormat="1" applyFont="1" applyFill="1" applyBorder="1" applyAlignment="1">
      <alignment horizontal="center" vertical="center" wrapText="1"/>
    </xf>
    <xf numFmtId="0" fontId="2" fillId="0" borderId="0" xfId="0" applyFont="1" applyFill="1" applyAlignment="1">
      <alignment vertical="center" wrapText="1"/>
    </xf>
    <xf numFmtId="166" fontId="2" fillId="0" borderId="2" xfId="1" applyNumberFormat="1" applyFont="1" applyFill="1" applyBorder="1" applyAlignment="1">
      <alignment horizontal="center" vertical="center" wrapText="1"/>
    </xf>
    <xf numFmtId="166" fontId="2" fillId="0" borderId="2" xfId="1" applyNumberFormat="1" applyFont="1" applyFill="1" applyBorder="1" applyAlignment="1">
      <alignment horizontal="left" vertical="center" wrapText="1"/>
    </xf>
    <xf numFmtId="3" fontId="2" fillId="0" borderId="2" xfId="0" applyNumberFormat="1" applyFont="1" applyFill="1" applyBorder="1" applyAlignment="1">
      <alignment horizontal="left" vertical="center" wrapText="1"/>
    </xf>
    <xf numFmtId="3" fontId="2" fillId="0" borderId="2" xfId="0" applyNumberFormat="1" applyFont="1" applyFill="1" applyBorder="1" applyAlignment="1">
      <alignment horizontal="center" vertical="center" wrapText="1"/>
    </xf>
    <xf numFmtId="1" fontId="2" fillId="0" borderId="2" xfId="0" applyNumberFormat="1" applyFont="1" applyFill="1" applyBorder="1" applyAlignment="1">
      <alignment horizontal="center" vertical="center" wrapText="1"/>
    </xf>
    <xf numFmtId="14" fontId="2" fillId="0" borderId="2" xfId="0" applyNumberFormat="1" applyFont="1" applyFill="1" applyBorder="1" applyAlignment="1">
      <alignment horizontal="center" vertical="center" wrapText="1"/>
    </xf>
    <xf numFmtId="166" fontId="2" fillId="0" borderId="2" xfId="1" applyNumberFormat="1" applyFont="1" applyFill="1" applyBorder="1" applyAlignment="1">
      <alignment horizontal="center" vertical="center" wrapText="1"/>
    </xf>
    <xf numFmtId="0" fontId="2" fillId="0" borderId="2" xfId="0" applyFont="1" applyFill="1" applyBorder="1" applyAlignment="1">
      <alignment horizontal="left" vertical="center" wrapText="1"/>
    </xf>
    <xf numFmtId="9" fontId="2" fillId="4" borderId="2" xfId="2" applyFont="1" applyFill="1" applyBorder="1" applyAlignment="1">
      <alignment horizontal="center" vertical="center" wrapText="1"/>
    </xf>
    <xf numFmtId="1" fontId="2" fillId="5" borderId="2" xfId="0" applyNumberFormat="1" applyFont="1" applyFill="1" applyBorder="1" applyAlignment="1">
      <alignment horizontal="center" vertical="center" wrapText="1"/>
    </xf>
    <xf numFmtId="0" fontId="3" fillId="5" borderId="2" xfId="0" applyFont="1" applyFill="1" applyBorder="1" applyAlignment="1">
      <alignment horizontal="center" vertical="center" wrapText="1"/>
    </xf>
    <xf numFmtId="1" fontId="2" fillId="0" borderId="2" xfId="1" applyNumberFormat="1" applyFont="1" applyFill="1" applyBorder="1" applyAlignment="1">
      <alignment horizontal="right" vertical="center" wrapText="1"/>
    </xf>
    <xf numFmtId="1" fontId="13" fillId="0" borderId="2" xfId="0" applyNumberFormat="1" applyFont="1" applyFill="1" applyBorder="1" applyAlignment="1">
      <alignment horizontal="center" vertical="center" wrapText="1"/>
    </xf>
    <xf numFmtId="1" fontId="3" fillId="6" borderId="2" xfId="0" applyNumberFormat="1" applyFont="1" applyFill="1" applyBorder="1" applyAlignment="1">
      <alignment horizontal="center" vertical="center" wrapText="1"/>
    </xf>
    <xf numFmtId="9" fontId="3" fillId="6" borderId="2" xfId="2" applyFont="1" applyFill="1" applyBorder="1" applyAlignment="1">
      <alignment horizontal="center" vertical="center" wrapText="1"/>
    </xf>
    <xf numFmtId="166" fontId="11" fillId="0" borderId="0" xfId="1" applyNumberFormat="1" applyFont="1" applyFill="1" applyBorder="1" applyAlignment="1">
      <alignment vertical="center" wrapText="1"/>
    </xf>
    <xf numFmtId="166" fontId="9" fillId="0" borderId="0" xfId="1" applyNumberFormat="1" applyFont="1" applyFill="1" applyBorder="1" applyAlignment="1">
      <alignment vertical="center" wrapText="1"/>
    </xf>
    <xf numFmtId="166" fontId="17" fillId="4" borderId="3" xfId="1" applyNumberFormat="1" applyFont="1" applyFill="1" applyBorder="1" applyAlignment="1">
      <alignment horizontal="center" vertical="center" wrapText="1"/>
    </xf>
    <xf numFmtId="0" fontId="16" fillId="7" borderId="2" xfId="0" applyFont="1" applyFill="1" applyBorder="1" applyAlignment="1">
      <alignment horizontal="center" vertical="center" wrapText="1"/>
    </xf>
    <xf numFmtId="0" fontId="17" fillId="7" borderId="2" xfId="0" applyFont="1" applyFill="1" applyBorder="1" applyAlignment="1">
      <alignment horizontal="center" vertical="center" wrapText="1"/>
    </xf>
    <xf numFmtId="9" fontId="2" fillId="7" borderId="2" xfId="1" applyNumberFormat="1" applyFont="1" applyFill="1" applyBorder="1" applyAlignment="1">
      <alignment horizontal="center" vertical="center" wrapText="1"/>
    </xf>
    <xf numFmtId="1" fontId="3" fillId="7" borderId="2" xfId="0" applyNumberFormat="1" applyFont="1" applyFill="1" applyBorder="1" applyAlignment="1">
      <alignment horizontal="center" vertical="center" wrapText="1"/>
    </xf>
    <xf numFmtId="10" fontId="3" fillId="7" borderId="2" xfId="0" applyNumberFormat="1" applyFont="1" applyFill="1" applyBorder="1" applyAlignment="1">
      <alignment horizontal="center" vertical="center" wrapText="1"/>
    </xf>
    <xf numFmtId="166" fontId="3" fillId="7" borderId="3" xfId="1" applyNumberFormat="1" applyFont="1" applyFill="1" applyBorder="1" applyAlignment="1">
      <alignment horizontal="center" vertical="center" wrapText="1"/>
    </xf>
    <xf numFmtId="0" fontId="5" fillId="7" borderId="2" xfId="0" applyFont="1" applyFill="1" applyBorder="1" applyAlignment="1">
      <alignment horizontal="center" vertical="center" wrapText="1"/>
    </xf>
    <xf numFmtId="1" fontId="2" fillId="7" borderId="2" xfId="1" applyNumberFormat="1" applyFont="1" applyFill="1" applyBorder="1" applyAlignment="1">
      <alignment horizontal="right" vertical="center" wrapText="1"/>
    </xf>
    <xf numFmtId="9" fontId="2" fillId="7" borderId="2" xfId="2" applyFont="1" applyFill="1" applyBorder="1" applyAlignment="1">
      <alignment horizontal="center" vertical="center" wrapText="1"/>
    </xf>
    <xf numFmtId="166" fontId="2" fillId="7" borderId="2" xfId="1" applyNumberFormat="1" applyFont="1" applyFill="1" applyBorder="1" applyAlignment="1">
      <alignment horizontal="center" vertical="center" wrapText="1"/>
    </xf>
    <xf numFmtId="9" fontId="7" fillId="7" borderId="2" xfId="2" applyFont="1" applyFill="1" applyBorder="1" applyAlignment="1">
      <alignment horizontal="center" vertical="center" wrapText="1"/>
    </xf>
    <xf numFmtId="164" fontId="15" fillId="7" borderId="2" xfId="0" applyNumberFormat="1" applyFont="1" applyFill="1" applyBorder="1" applyAlignment="1">
      <alignment horizontal="center" vertical="center" wrapText="1"/>
    </xf>
    <xf numFmtId="9" fontId="15" fillId="7" borderId="2" xfId="0" applyNumberFormat="1" applyFont="1" applyFill="1" applyBorder="1" applyAlignment="1">
      <alignment horizontal="center" vertical="center" wrapText="1"/>
    </xf>
    <xf numFmtId="166" fontId="17" fillId="7" borderId="2" xfId="1" applyNumberFormat="1" applyFont="1" applyFill="1" applyBorder="1" applyAlignment="1">
      <alignment horizontal="center" vertical="center" wrapText="1"/>
    </xf>
    <xf numFmtId="166" fontId="2" fillId="7" borderId="2" xfId="1" applyNumberFormat="1" applyFont="1" applyFill="1" applyBorder="1" applyAlignment="1">
      <alignment horizontal="left" vertical="center" wrapText="1"/>
    </xf>
    <xf numFmtId="10" fontId="2" fillId="7" borderId="2" xfId="2" applyNumberFormat="1" applyFont="1" applyFill="1" applyBorder="1" applyAlignment="1">
      <alignment horizontal="center" vertical="center" wrapText="1"/>
    </xf>
    <xf numFmtId="165" fontId="11" fillId="7" borderId="2" xfId="0" applyNumberFormat="1" applyFont="1" applyFill="1" applyBorder="1" applyAlignment="1">
      <alignment vertical="center" wrapText="1"/>
    </xf>
    <xf numFmtId="10" fontId="11" fillId="7" borderId="7" xfId="2" applyNumberFormat="1" applyFont="1" applyFill="1" applyBorder="1" applyAlignment="1">
      <alignment horizontal="center" vertical="center" wrapText="1"/>
    </xf>
    <xf numFmtId="0" fontId="3" fillId="7" borderId="2" xfId="0" applyFont="1" applyFill="1" applyBorder="1" applyAlignment="1">
      <alignment horizontal="center" vertical="center" wrapText="1"/>
    </xf>
    <xf numFmtId="1" fontId="2" fillId="7" borderId="4" xfId="0" applyNumberFormat="1" applyFont="1" applyFill="1" applyBorder="1" applyAlignment="1">
      <alignment vertical="center" wrapText="1"/>
    </xf>
    <xf numFmtId="1" fontId="2" fillId="7" borderId="2" xfId="0" applyNumberFormat="1" applyFont="1" applyFill="1" applyBorder="1" applyAlignment="1">
      <alignment vertical="center" wrapText="1"/>
    </xf>
    <xf numFmtId="0" fontId="2" fillId="8" borderId="0" xfId="0" applyFont="1" applyFill="1" applyAlignment="1">
      <alignment vertical="center" wrapText="1"/>
    </xf>
    <xf numFmtId="9" fontId="2" fillId="7" borderId="3" xfId="2" applyFont="1" applyFill="1" applyBorder="1" applyAlignment="1">
      <alignment horizontal="center" vertical="center" wrapText="1"/>
    </xf>
    <xf numFmtId="166" fontId="2" fillId="7" borderId="2" xfId="1" applyNumberFormat="1" applyFont="1" applyFill="1" applyBorder="1" applyAlignment="1">
      <alignment horizontal="right" vertical="center" wrapText="1"/>
    </xf>
    <xf numFmtId="0" fontId="6" fillId="7" borderId="2" xfId="0" applyFont="1" applyFill="1" applyBorder="1" applyAlignment="1">
      <alignment vertical="center" wrapText="1"/>
    </xf>
    <xf numFmtId="0" fontId="2" fillId="7" borderId="2" xfId="0" applyFont="1" applyFill="1" applyBorder="1" applyAlignment="1">
      <alignment vertical="center" wrapText="1"/>
    </xf>
    <xf numFmtId="1" fontId="2" fillId="7" borderId="3" xfId="0" applyNumberFormat="1" applyFont="1" applyFill="1" applyBorder="1" applyAlignment="1">
      <alignment vertical="center" wrapText="1"/>
    </xf>
    <xf numFmtId="1" fontId="2" fillId="7" borderId="2" xfId="0" applyNumberFormat="1" applyFont="1" applyFill="1" applyBorder="1" applyAlignment="1">
      <alignment horizontal="left" vertical="center" wrapText="1"/>
    </xf>
    <xf numFmtId="0" fontId="2" fillId="7" borderId="3" xfId="0" applyNumberFormat="1" applyFont="1" applyFill="1" applyBorder="1" applyAlignment="1">
      <alignment horizontal="left" vertical="center" wrapText="1"/>
    </xf>
    <xf numFmtId="1" fontId="7" fillId="7" borderId="3" xfId="0" applyNumberFormat="1" applyFont="1" applyFill="1" applyBorder="1" applyAlignment="1">
      <alignment vertical="center" wrapText="1"/>
    </xf>
    <xf numFmtId="1" fontId="7" fillId="7" borderId="2" xfId="0" applyNumberFormat="1" applyFont="1" applyFill="1" applyBorder="1" applyAlignment="1">
      <alignment vertical="center" wrapText="1"/>
    </xf>
    <xf numFmtId="1" fontId="7" fillId="7" borderId="4" xfId="1" applyNumberFormat="1" applyFont="1" applyFill="1" applyBorder="1" applyAlignment="1">
      <alignment vertical="center" wrapText="1"/>
    </xf>
    <xf numFmtId="1" fontId="7" fillId="7" borderId="5" xfId="1" applyNumberFormat="1" applyFont="1" applyFill="1" applyBorder="1" applyAlignment="1">
      <alignment vertical="center" wrapText="1"/>
    </xf>
    <xf numFmtId="1" fontId="7" fillId="7" borderId="3" xfId="1" applyNumberFormat="1" applyFont="1" applyFill="1" applyBorder="1" applyAlignment="1">
      <alignment vertical="center" wrapText="1"/>
    </xf>
    <xf numFmtId="1" fontId="7" fillId="7" borderId="2" xfId="1" applyNumberFormat="1" applyFont="1" applyFill="1" applyBorder="1" applyAlignment="1">
      <alignment vertical="center" wrapText="1"/>
    </xf>
    <xf numFmtId="166" fontId="2" fillId="0" borderId="2" xfId="1" applyNumberFormat="1" applyFont="1" applyFill="1" applyBorder="1" applyAlignment="1">
      <alignment horizontal="center" vertical="center" wrapText="1"/>
    </xf>
    <xf numFmtId="166" fontId="2" fillId="7" borderId="2" xfId="1" applyNumberFormat="1" applyFont="1" applyFill="1" applyBorder="1" applyAlignment="1">
      <alignment horizontal="center" vertical="center" wrapText="1"/>
    </xf>
    <xf numFmtId="0" fontId="6" fillId="7" borderId="2" xfId="0" applyNumberFormat="1" applyFont="1" applyFill="1" applyBorder="1" applyAlignment="1">
      <alignment vertical="center" wrapText="1"/>
    </xf>
    <xf numFmtId="9" fontId="2" fillId="9" borderId="2" xfId="2" applyFont="1" applyFill="1" applyBorder="1" applyAlignment="1">
      <alignment horizontal="center" vertical="center" wrapText="1"/>
    </xf>
    <xf numFmtId="1" fontId="3" fillId="0" borderId="0" xfId="0" applyNumberFormat="1" applyFont="1" applyFill="1" applyBorder="1" applyAlignment="1">
      <alignment horizontal="center" vertical="center" wrapText="1"/>
    </xf>
    <xf numFmtId="9" fontId="3" fillId="0" borderId="0" xfId="2" applyFont="1" applyFill="1" applyBorder="1" applyAlignment="1">
      <alignment horizontal="center" vertical="center" wrapText="1"/>
    </xf>
    <xf numFmtId="0" fontId="16" fillId="10" borderId="2" xfId="0" applyFont="1" applyFill="1" applyBorder="1" applyAlignment="1">
      <alignment horizontal="center" vertical="center" wrapText="1"/>
    </xf>
    <xf numFmtId="0" fontId="17" fillId="10" borderId="2" xfId="0" applyFont="1" applyFill="1" applyBorder="1" applyAlignment="1">
      <alignment horizontal="center" vertical="center" wrapText="1"/>
    </xf>
    <xf numFmtId="9" fontId="2" fillId="9" borderId="3" xfId="2" applyFont="1" applyFill="1" applyBorder="1" applyAlignment="1">
      <alignment horizontal="center" vertical="center" wrapText="1"/>
    </xf>
    <xf numFmtId="9" fontId="7" fillId="9" borderId="2" xfId="2" applyFont="1" applyFill="1" applyBorder="1" applyAlignment="1">
      <alignment horizontal="center" vertical="center" wrapText="1"/>
    </xf>
    <xf numFmtId="9" fontId="15" fillId="11" borderId="2" xfId="0" applyNumberFormat="1" applyFont="1" applyFill="1" applyBorder="1" applyAlignment="1">
      <alignment horizontal="center" vertical="center" wrapText="1"/>
    </xf>
    <xf numFmtId="166" fontId="3" fillId="12" borderId="3" xfId="1" applyNumberFormat="1" applyFont="1" applyFill="1" applyBorder="1" applyAlignment="1">
      <alignment horizontal="center" vertical="center" wrapText="1"/>
    </xf>
    <xf numFmtId="0" fontId="5" fillId="12" borderId="2" xfId="0" applyFont="1" applyFill="1" applyBorder="1" applyAlignment="1">
      <alignment horizontal="center" vertical="center" wrapText="1"/>
    </xf>
    <xf numFmtId="164" fontId="15" fillId="11" borderId="2" xfId="0" applyNumberFormat="1" applyFont="1" applyFill="1" applyBorder="1" applyAlignment="1">
      <alignment horizontal="center" vertical="center" wrapText="1"/>
    </xf>
    <xf numFmtId="166" fontId="17" fillId="10" borderId="2" xfId="1" applyNumberFormat="1" applyFont="1" applyFill="1" applyBorder="1" applyAlignment="1">
      <alignment horizontal="center" vertical="center" wrapText="1"/>
    </xf>
    <xf numFmtId="166" fontId="11" fillId="10" borderId="6" xfId="1" applyNumberFormat="1" applyFont="1" applyFill="1" applyBorder="1" applyAlignment="1">
      <alignment vertical="center" wrapText="1"/>
    </xf>
    <xf numFmtId="165" fontId="11" fillId="10" borderId="2" xfId="0" applyNumberFormat="1" applyFont="1" applyFill="1" applyBorder="1" applyAlignment="1">
      <alignment vertical="center" wrapText="1"/>
    </xf>
    <xf numFmtId="10" fontId="11" fillId="10" borderId="7" xfId="2" applyNumberFormat="1" applyFont="1" applyFill="1" applyBorder="1" applyAlignment="1">
      <alignment horizontal="center" vertical="center" wrapText="1"/>
    </xf>
    <xf numFmtId="10" fontId="2" fillId="9" borderId="2" xfId="2" applyNumberFormat="1" applyFont="1" applyFill="1" applyBorder="1" applyAlignment="1">
      <alignment horizontal="center" vertical="center" wrapText="1"/>
    </xf>
    <xf numFmtId="166" fontId="2" fillId="9" borderId="2" xfId="1" applyNumberFormat="1" applyFont="1" applyFill="1" applyBorder="1" applyAlignment="1">
      <alignment horizontal="left" vertical="center" wrapText="1"/>
    </xf>
    <xf numFmtId="166" fontId="2" fillId="9" borderId="2" xfId="1" applyNumberFormat="1" applyFont="1" applyFill="1" applyBorder="1" applyAlignment="1">
      <alignment horizontal="center" vertical="center" wrapText="1"/>
    </xf>
    <xf numFmtId="0" fontId="3" fillId="10" borderId="2" xfId="0" applyFont="1" applyFill="1" applyBorder="1" applyAlignment="1">
      <alignment horizontal="center" vertical="center" wrapText="1"/>
    </xf>
    <xf numFmtId="1" fontId="2" fillId="9" borderId="4" xfId="0" applyNumberFormat="1" applyFont="1" applyFill="1" applyBorder="1" applyAlignment="1">
      <alignment vertical="center" wrapText="1"/>
    </xf>
    <xf numFmtId="1" fontId="2" fillId="9" borderId="2" xfId="0" applyNumberFormat="1" applyFont="1" applyFill="1" applyBorder="1" applyAlignment="1">
      <alignment vertical="center" wrapText="1"/>
    </xf>
    <xf numFmtId="1" fontId="2" fillId="9" borderId="2" xfId="0" applyNumberFormat="1" applyFont="1" applyFill="1" applyBorder="1" applyAlignment="1">
      <alignment horizontal="left" vertical="center" wrapText="1"/>
    </xf>
    <xf numFmtId="0" fontId="2" fillId="9" borderId="2" xfId="0" applyFont="1" applyFill="1" applyBorder="1" applyAlignment="1">
      <alignment vertical="center" wrapText="1"/>
    </xf>
    <xf numFmtId="1" fontId="2" fillId="9" borderId="3" xfId="0" applyNumberFormat="1" applyFont="1" applyFill="1" applyBorder="1" applyAlignment="1">
      <alignment vertical="center" wrapText="1"/>
    </xf>
    <xf numFmtId="1" fontId="7" fillId="9" borderId="4" xfId="1" applyNumberFormat="1" applyFont="1" applyFill="1" applyBorder="1" applyAlignment="1">
      <alignment vertical="center" wrapText="1"/>
    </xf>
    <xf numFmtId="1" fontId="7" fillId="9" borderId="3" xfId="1" applyNumberFormat="1" applyFont="1" applyFill="1" applyBorder="1" applyAlignment="1">
      <alignment vertical="center" wrapText="1"/>
    </xf>
    <xf numFmtId="9" fontId="2" fillId="9" borderId="2" xfId="1" applyNumberFormat="1" applyFont="1" applyFill="1" applyBorder="1" applyAlignment="1">
      <alignment horizontal="center" vertical="center" wrapText="1"/>
    </xf>
    <xf numFmtId="1" fontId="3" fillId="11" borderId="2" xfId="0" applyNumberFormat="1" applyFont="1" applyFill="1" applyBorder="1" applyAlignment="1">
      <alignment horizontal="center" vertical="center" wrapText="1"/>
    </xf>
    <xf numFmtId="10" fontId="3" fillId="11" borderId="2" xfId="0" applyNumberFormat="1" applyFont="1" applyFill="1" applyBorder="1" applyAlignment="1">
      <alignment horizontal="center" vertical="center" wrapText="1"/>
    </xf>
    <xf numFmtId="166" fontId="2" fillId="9" borderId="2" xfId="1" applyNumberFormat="1" applyFont="1" applyFill="1" applyBorder="1" applyAlignment="1">
      <alignment horizontal="right" vertical="center" wrapText="1"/>
    </xf>
    <xf numFmtId="1" fontId="2" fillId="9" borderId="2" xfId="1" applyNumberFormat="1" applyFont="1" applyFill="1" applyBorder="1" applyAlignment="1">
      <alignment horizontal="right" vertical="center" wrapText="1"/>
    </xf>
    <xf numFmtId="0" fontId="19" fillId="9" borderId="2" xfId="0" applyFont="1" applyFill="1" applyBorder="1" applyAlignment="1">
      <alignment horizontal="justify" vertical="center"/>
    </xf>
    <xf numFmtId="0" fontId="19" fillId="9" borderId="2" xfId="0" applyFont="1" applyFill="1" applyBorder="1" applyAlignment="1">
      <alignment horizontal="left" vertical="center" wrapText="1"/>
    </xf>
    <xf numFmtId="0" fontId="2" fillId="0" borderId="0" xfId="0" applyFont="1" applyBorder="1" applyAlignment="1">
      <alignment vertical="center" wrapText="1"/>
    </xf>
    <xf numFmtId="166" fontId="11" fillId="7" borderId="2" xfId="1" applyNumberFormat="1" applyFont="1" applyFill="1" applyBorder="1" applyAlignment="1">
      <alignment vertical="center" wrapText="1"/>
    </xf>
    <xf numFmtId="0" fontId="0" fillId="9" borderId="2" xfId="0" applyFill="1" applyBorder="1" applyAlignment="1">
      <alignment vertical="top" wrapText="1"/>
    </xf>
    <xf numFmtId="166" fontId="2" fillId="0" borderId="2" xfId="1" applyNumberFormat="1" applyFont="1" applyFill="1" applyBorder="1" applyAlignment="1">
      <alignment horizontal="center" vertical="center" wrapText="1"/>
    </xf>
    <xf numFmtId="166" fontId="2" fillId="9" borderId="2" xfId="1" applyNumberFormat="1" applyFont="1" applyFill="1" applyBorder="1" applyAlignment="1">
      <alignment horizontal="center" vertical="center" wrapText="1"/>
    </xf>
    <xf numFmtId="0" fontId="19" fillId="9" borderId="2" xfId="0" applyFont="1" applyFill="1" applyBorder="1" applyAlignment="1">
      <alignment vertical="center" wrapText="1"/>
    </xf>
    <xf numFmtId="0" fontId="6" fillId="9" borderId="2" xfId="0" applyNumberFormat="1" applyFont="1" applyFill="1" applyBorder="1" applyAlignment="1">
      <alignment vertical="center" wrapText="1"/>
    </xf>
    <xf numFmtId="0" fontId="6" fillId="9" borderId="2" xfId="0" applyFont="1" applyFill="1" applyBorder="1" applyAlignment="1">
      <alignment vertical="center" wrapText="1"/>
    </xf>
    <xf numFmtId="1" fontId="7" fillId="9" borderId="5" xfId="1" applyNumberFormat="1" applyFont="1" applyFill="1" applyBorder="1" applyAlignment="1">
      <alignment vertical="center" wrapText="1"/>
    </xf>
    <xf numFmtId="1" fontId="7" fillId="9" borderId="2" xfId="1" applyNumberFormat="1" applyFont="1" applyFill="1" applyBorder="1" applyAlignment="1">
      <alignment vertical="center" wrapText="1"/>
    </xf>
    <xf numFmtId="166" fontId="2" fillId="0" borderId="2" xfId="1" applyNumberFormat="1" applyFont="1" applyFill="1" applyBorder="1" applyAlignment="1">
      <alignment horizontal="right" vertical="center" wrapText="1"/>
    </xf>
    <xf numFmtId="2" fontId="2" fillId="0" borderId="2" xfId="1" applyNumberFormat="1" applyFont="1" applyFill="1" applyBorder="1" applyAlignment="1">
      <alignment horizontal="right" vertical="center" wrapText="1"/>
    </xf>
    <xf numFmtId="10" fontId="2" fillId="7" borderId="4" xfId="2" applyNumberFormat="1" applyFont="1" applyFill="1" applyBorder="1" applyAlignment="1">
      <alignment horizontal="center" vertical="center" wrapText="1"/>
    </xf>
    <xf numFmtId="10" fontId="2" fillId="7" borderId="5" xfId="2" applyNumberFormat="1" applyFont="1" applyFill="1" applyBorder="1" applyAlignment="1">
      <alignment horizontal="center" vertical="center" wrapText="1"/>
    </xf>
    <xf numFmtId="10" fontId="2" fillId="7" borderId="3" xfId="2" applyNumberFormat="1" applyFont="1" applyFill="1" applyBorder="1" applyAlignment="1">
      <alignment horizontal="center" vertical="center" wrapText="1"/>
    </xf>
    <xf numFmtId="166" fontId="2" fillId="7" borderId="2" xfId="1" applyNumberFormat="1" applyFont="1" applyFill="1" applyBorder="1" applyAlignment="1">
      <alignment horizontal="center" vertical="center" wrapText="1"/>
    </xf>
    <xf numFmtId="165" fontId="2" fillId="7" borderId="4" xfId="1" applyFont="1" applyFill="1" applyBorder="1" applyAlignment="1">
      <alignment horizontal="center" vertical="center" wrapText="1"/>
    </xf>
    <xf numFmtId="165" fontId="2" fillId="7" borderId="3" xfId="1" applyFont="1" applyFill="1" applyBorder="1" applyAlignment="1">
      <alignment horizontal="center" vertical="center" wrapText="1"/>
    </xf>
    <xf numFmtId="166" fontId="2" fillId="7" borderId="4" xfId="1" applyNumberFormat="1" applyFont="1" applyFill="1" applyBorder="1" applyAlignment="1">
      <alignment horizontal="center" vertical="center" wrapText="1"/>
    </xf>
    <xf numFmtId="166" fontId="2" fillId="7" borderId="5" xfId="1" applyNumberFormat="1" applyFont="1" applyFill="1" applyBorder="1" applyAlignment="1">
      <alignment horizontal="center" vertical="center" wrapText="1"/>
    </xf>
    <xf numFmtId="166" fontId="2" fillId="7" borderId="3" xfId="1" applyNumberFormat="1" applyFont="1" applyFill="1" applyBorder="1" applyAlignment="1">
      <alignment horizontal="center" vertical="center" wrapText="1"/>
    </xf>
    <xf numFmtId="166" fontId="7" fillId="7" borderId="2" xfId="1" applyNumberFormat="1" applyFont="1" applyFill="1" applyBorder="1" applyAlignment="1">
      <alignment horizontal="center" vertical="center" wrapText="1"/>
    </xf>
    <xf numFmtId="166" fontId="7" fillId="7" borderId="4" xfId="1" applyNumberFormat="1" applyFont="1" applyFill="1" applyBorder="1" applyAlignment="1">
      <alignment horizontal="center" vertical="center" wrapText="1"/>
    </xf>
    <xf numFmtId="166" fontId="7" fillId="7" borderId="5" xfId="1" applyNumberFormat="1" applyFont="1" applyFill="1" applyBorder="1" applyAlignment="1">
      <alignment horizontal="center" vertical="center" wrapText="1"/>
    </xf>
    <xf numFmtId="166" fontId="7" fillId="7" borderId="3" xfId="1" applyNumberFormat="1" applyFont="1" applyFill="1" applyBorder="1" applyAlignment="1">
      <alignment horizontal="center" vertical="center" wrapText="1"/>
    </xf>
    <xf numFmtId="10" fontId="7" fillId="7" borderId="4" xfId="2" applyNumberFormat="1" applyFont="1" applyFill="1" applyBorder="1" applyAlignment="1">
      <alignment horizontal="center" vertical="center" wrapText="1"/>
    </xf>
    <xf numFmtId="10" fontId="7" fillId="7" borderId="5" xfId="2" applyNumberFormat="1" applyFont="1" applyFill="1" applyBorder="1" applyAlignment="1">
      <alignment horizontal="center" vertical="center" wrapText="1"/>
    </xf>
    <xf numFmtId="10" fontId="7" fillId="7" borderId="3" xfId="2" applyNumberFormat="1" applyFont="1" applyFill="1" applyBorder="1" applyAlignment="1">
      <alignment horizontal="center" vertical="center" wrapText="1"/>
    </xf>
    <xf numFmtId="166" fontId="2" fillId="7" borderId="7" xfId="1" applyNumberFormat="1" applyFont="1" applyFill="1" applyBorder="1" applyAlignment="1">
      <alignment horizontal="center" vertical="center" wrapText="1"/>
    </xf>
    <xf numFmtId="1" fontId="7" fillId="0" borderId="2" xfId="1" applyNumberFormat="1" applyFont="1" applyFill="1" applyBorder="1" applyAlignment="1">
      <alignment horizontal="center" vertical="center" wrapText="1"/>
    </xf>
    <xf numFmtId="1" fontId="2" fillId="0" borderId="6" xfId="0" applyNumberFormat="1" applyFont="1" applyFill="1" applyBorder="1" applyAlignment="1">
      <alignment horizontal="center" vertical="center" wrapText="1"/>
    </xf>
    <xf numFmtId="166" fontId="7" fillId="0" borderId="2" xfId="1" applyNumberFormat="1" applyFont="1" applyFill="1" applyBorder="1" applyAlignment="1">
      <alignment horizontal="center" vertical="center" wrapText="1"/>
    </xf>
    <xf numFmtId="166" fontId="7" fillId="0" borderId="4" xfId="1" applyNumberFormat="1" applyFont="1" applyFill="1" applyBorder="1" applyAlignment="1">
      <alignment horizontal="center" vertical="center" wrapText="1"/>
    </xf>
    <xf numFmtId="14" fontId="7" fillId="0" borderId="2" xfId="1" applyNumberFormat="1" applyFont="1" applyFill="1" applyBorder="1" applyAlignment="1">
      <alignment horizontal="center" vertical="center" wrapText="1"/>
    </xf>
    <xf numFmtId="14" fontId="2" fillId="0" borderId="2" xfId="0" applyNumberFormat="1" applyFont="1" applyFill="1" applyBorder="1" applyAlignment="1">
      <alignment horizontal="center" vertical="center" wrapText="1"/>
    </xf>
    <xf numFmtId="1" fontId="2" fillId="5" borderId="2" xfId="0" applyNumberFormat="1" applyFont="1" applyFill="1" applyBorder="1" applyAlignment="1">
      <alignment horizontal="center" vertical="center" wrapText="1"/>
    </xf>
    <xf numFmtId="1" fontId="2" fillId="0" borderId="2" xfId="0" applyNumberFormat="1" applyFont="1" applyFill="1" applyBorder="1" applyAlignment="1">
      <alignment horizontal="center" vertical="center" wrapText="1"/>
    </xf>
    <xf numFmtId="166" fontId="2" fillId="0" borderId="2" xfId="1" applyNumberFormat="1" applyFont="1" applyFill="1" applyBorder="1" applyAlignment="1">
      <alignment horizontal="center" vertical="center" wrapText="1"/>
    </xf>
    <xf numFmtId="3" fontId="2" fillId="0" borderId="2" xfId="0" applyNumberFormat="1" applyFont="1" applyFill="1" applyBorder="1" applyAlignment="1">
      <alignment horizontal="center" vertical="center" wrapText="1"/>
    </xf>
    <xf numFmtId="1" fontId="12" fillId="0" borderId="2" xfId="0" applyNumberFormat="1" applyFont="1" applyFill="1" applyBorder="1" applyAlignment="1">
      <alignment horizontal="center" vertical="center" wrapText="1"/>
    </xf>
    <xf numFmtId="1" fontId="7" fillId="5" borderId="2" xfId="1" applyNumberFormat="1" applyFont="1" applyFill="1" applyBorder="1" applyAlignment="1">
      <alignment horizontal="center" vertical="center" wrapText="1"/>
    </xf>
    <xf numFmtId="1" fontId="14" fillId="0" borderId="2" xfId="1" applyNumberFormat="1" applyFont="1" applyFill="1" applyBorder="1" applyAlignment="1">
      <alignment horizontal="center" vertical="center" wrapText="1"/>
    </xf>
    <xf numFmtId="14" fontId="7" fillId="0" borderId="4" xfId="1" applyNumberFormat="1" applyFont="1" applyFill="1" applyBorder="1" applyAlignment="1">
      <alignment horizontal="center" vertical="center" wrapText="1"/>
    </xf>
    <xf numFmtId="166" fontId="7" fillId="9" borderId="2" xfId="1" applyNumberFormat="1" applyFont="1" applyFill="1" applyBorder="1" applyAlignment="1">
      <alignment horizontal="center" vertical="center" wrapText="1"/>
    </xf>
    <xf numFmtId="166" fontId="7" fillId="9" borderId="4" xfId="1" applyNumberFormat="1" applyFont="1" applyFill="1" applyBorder="1" applyAlignment="1">
      <alignment horizontal="center" vertical="center" wrapText="1"/>
    </xf>
    <xf numFmtId="166" fontId="7" fillId="9" borderId="5" xfId="1" applyNumberFormat="1" applyFont="1" applyFill="1" applyBorder="1" applyAlignment="1">
      <alignment horizontal="center" vertical="center" wrapText="1"/>
    </xf>
    <xf numFmtId="166" fontId="7" fillId="9" borderId="3" xfId="1" applyNumberFormat="1" applyFont="1" applyFill="1" applyBorder="1" applyAlignment="1">
      <alignment horizontal="center" vertical="center" wrapText="1"/>
    </xf>
    <xf numFmtId="14" fontId="7" fillId="0" borderId="2" xfId="0" applyNumberFormat="1" applyFont="1" applyFill="1" applyBorder="1" applyAlignment="1">
      <alignment horizontal="center" vertical="center" wrapText="1"/>
    </xf>
    <xf numFmtId="1" fontId="7" fillId="0" borderId="2"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14" fontId="2" fillId="0" borderId="7"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4" fillId="0" borderId="2" xfId="0" applyFont="1" applyFill="1" applyBorder="1" applyAlignment="1">
      <alignment horizontal="center" vertical="center" wrapText="1"/>
    </xf>
    <xf numFmtId="1" fontId="7" fillId="5" borderId="2" xfId="0" applyNumberFormat="1" applyFont="1" applyFill="1" applyBorder="1" applyAlignment="1">
      <alignment horizontal="center" vertical="center" wrapText="1"/>
    </xf>
    <xf numFmtId="1" fontId="14" fillId="0" borderId="2" xfId="0" applyNumberFormat="1" applyFont="1" applyFill="1" applyBorder="1" applyAlignment="1">
      <alignment horizontal="center" vertical="center" wrapText="1"/>
    </xf>
    <xf numFmtId="10" fontId="2" fillId="7" borderId="4" xfId="1" applyNumberFormat="1" applyFont="1" applyFill="1" applyBorder="1" applyAlignment="1">
      <alignment horizontal="center" vertical="center" wrapText="1"/>
    </xf>
    <xf numFmtId="10" fontId="2" fillId="7" borderId="5" xfId="1" applyNumberFormat="1" applyFont="1" applyFill="1" applyBorder="1" applyAlignment="1">
      <alignment horizontal="center" vertical="center" wrapText="1"/>
    </xf>
    <xf numFmtId="10" fontId="2" fillId="7" borderId="3" xfId="1"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1" fontId="13" fillId="0" borderId="2" xfId="0" applyNumberFormat="1" applyFont="1" applyFill="1" applyBorder="1" applyAlignment="1">
      <alignment horizontal="center" vertical="center" wrapText="1"/>
    </xf>
    <xf numFmtId="165" fontId="2" fillId="9" borderId="4" xfId="1" applyFont="1" applyFill="1" applyBorder="1" applyAlignment="1">
      <alignment horizontal="center" vertical="center" wrapText="1"/>
    </xf>
    <xf numFmtId="165" fontId="2" fillId="9" borderId="3" xfId="1" applyFont="1" applyFill="1" applyBorder="1" applyAlignment="1">
      <alignment horizontal="center" vertical="center" wrapText="1"/>
    </xf>
    <xf numFmtId="10" fontId="2" fillId="9" borderId="4" xfId="2" applyNumberFormat="1" applyFont="1" applyFill="1" applyBorder="1" applyAlignment="1">
      <alignment horizontal="center" vertical="center" wrapText="1"/>
    </xf>
    <xf numFmtId="10" fontId="2" fillId="9" borderId="3" xfId="2" applyNumberFormat="1" applyFont="1" applyFill="1" applyBorder="1" applyAlignment="1">
      <alignment horizontal="center" vertical="center" wrapText="1"/>
    </xf>
    <xf numFmtId="166" fontId="2" fillId="9" borderId="2" xfId="1" applyNumberFormat="1" applyFont="1" applyFill="1" applyBorder="1" applyAlignment="1">
      <alignment horizontal="center" vertical="center" wrapText="1"/>
    </xf>
    <xf numFmtId="0" fontId="3" fillId="0" borderId="1" xfId="0" applyFont="1" applyBorder="1" applyAlignment="1">
      <alignment horizontal="center" vertical="center" wrapText="1"/>
    </xf>
    <xf numFmtId="9" fontId="2" fillId="7" borderId="4" xfId="2" applyFont="1" applyFill="1" applyBorder="1" applyAlignment="1">
      <alignment horizontal="center" vertical="center" wrapText="1"/>
    </xf>
    <xf numFmtId="9" fontId="2" fillId="7" borderId="5" xfId="2" applyFont="1" applyFill="1" applyBorder="1" applyAlignment="1">
      <alignment horizontal="center" vertical="center" wrapText="1"/>
    </xf>
    <xf numFmtId="9" fontId="2" fillId="7" borderId="3" xfId="2" applyFont="1" applyFill="1" applyBorder="1" applyAlignment="1">
      <alignment horizontal="center" vertical="center" wrapText="1"/>
    </xf>
    <xf numFmtId="10" fontId="7" fillId="9" borderId="4" xfId="2" applyNumberFormat="1" applyFont="1" applyFill="1" applyBorder="1" applyAlignment="1">
      <alignment horizontal="center" vertical="center" wrapText="1"/>
    </xf>
    <xf numFmtId="10" fontId="7" fillId="9" borderId="5" xfId="2" applyNumberFormat="1" applyFont="1" applyFill="1" applyBorder="1" applyAlignment="1">
      <alignment horizontal="center" vertical="center" wrapText="1"/>
    </xf>
    <xf numFmtId="10" fontId="7" fillId="9" borderId="3" xfId="2" applyNumberFormat="1" applyFont="1" applyFill="1" applyBorder="1" applyAlignment="1">
      <alignment horizontal="center" vertical="center" wrapText="1"/>
    </xf>
    <xf numFmtId="166" fontId="2" fillId="9" borderId="4" xfId="1" applyNumberFormat="1" applyFont="1" applyFill="1" applyBorder="1" applyAlignment="1">
      <alignment horizontal="center" vertical="center" wrapText="1"/>
    </xf>
    <xf numFmtId="166" fontId="2" fillId="9" borderId="5" xfId="1" applyNumberFormat="1" applyFont="1" applyFill="1" applyBorder="1" applyAlignment="1">
      <alignment horizontal="center" vertical="center" wrapText="1"/>
    </xf>
    <xf numFmtId="166" fontId="2" fillId="9" borderId="3" xfId="1" applyNumberFormat="1" applyFont="1" applyFill="1" applyBorder="1" applyAlignment="1">
      <alignment horizontal="center" vertical="center" wrapText="1"/>
    </xf>
    <xf numFmtId="10" fontId="2" fillId="9" borderId="5" xfId="2" applyNumberFormat="1" applyFont="1" applyFill="1" applyBorder="1" applyAlignment="1">
      <alignment horizontal="center" vertical="center" wrapText="1"/>
    </xf>
    <xf numFmtId="9" fontId="2" fillId="9" borderId="4" xfId="2" applyFont="1" applyFill="1" applyBorder="1" applyAlignment="1">
      <alignment horizontal="center" vertical="center" wrapText="1"/>
    </xf>
    <xf numFmtId="9" fontId="2" fillId="9" borderId="5" xfId="2" applyFont="1" applyFill="1" applyBorder="1" applyAlignment="1">
      <alignment horizontal="center" vertical="center" wrapText="1"/>
    </xf>
    <xf numFmtId="9" fontId="2" fillId="9" borderId="3" xfId="2" applyFont="1" applyFill="1" applyBorder="1" applyAlignment="1">
      <alignment horizontal="center" vertical="center" wrapText="1"/>
    </xf>
    <xf numFmtId="10" fontId="2" fillId="9" borderId="4" xfId="1" applyNumberFormat="1" applyFont="1" applyFill="1" applyBorder="1" applyAlignment="1">
      <alignment horizontal="center" vertical="center" wrapText="1"/>
    </xf>
    <xf numFmtId="10" fontId="2" fillId="9" borderId="5" xfId="1" applyNumberFormat="1" applyFont="1" applyFill="1" applyBorder="1" applyAlignment="1">
      <alignment horizontal="center" vertical="center" wrapText="1"/>
    </xf>
    <xf numFmtId="10" fontId="2" fillId="9" borderId="3" xfId="1" applyNumberFormat="1" applyFont="1" applyFill="1" applyBorder="1" applyAlignment="1">
      <alignment horizontal="center" vertical="center" wrapText="1"/>
    </xf>
  </cellXfs>
  <cellStyles count="3">
    <cellStyle name="Millares" xfId="1" builtinId="3"/>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31"/>
  <sheetViews>
    <sheetView tabSelected="1" topLeftCell="F1" zoomScale="60" zoomScaleNormal="60" workbookViewId="0">
      <pane xSplit="2" ySplit="2" topLeftCell="H3" activePane="bottomRight" state="frozen"/>
      <selection activeCell="F1" sqref="F1"/>
      <selection pane="topRight" activeCell="H1" sqref="H1"/>
      <selection pane="bottomLeft" activeCell="F3" sqref="F3"/>
      <selection pane="bottomRight" activeCell="H3" sqref="H3"/>
    </sheetView>
  </sheetViews>
  <sheetFormatPr baseColWidth="10" defaultColWidth="39.85546875" defaultRowHeight="18" x14ac:dyDescent="0.25"/>
  <cols>
    <col min="1" max="3" width="39.85546875" style="1"/>
    <col min="4" max="5" width="39.85546875" style="2"/>
    <col min="6" max="6" width="39.85546875" style="1"/>
    <col min="7" max="7" width="62.140625" style="1" bestFit="1" customWidth="1"/>
    <col min="8" max="8" width="39.85546875" style="1"/>
    <col min="9" max="9" width="25.140625" style="1" bestFit="1" customWidth="1"/>
    <col min="10" max="10" width="68" style="13" bestFit="1" customWidth="1"/>
    <col min="11" max="11" width="47.140625" style="13" bestFit="1" customWidth="1"/>
    <col min="12" max="12" width="41.42578125" style="14" bestFit="1" customWidth="1"/>
    <col min="13" max="13" width="33.140625" style="15" hidden="1" customWidth="1"/>
    <col min="14" max="14" width="39.85546875" style="15" bestFit="1" customWidth="1"/>
    <col min="15" max="15" width="37.7109375" style="15" bestFit="1" customWidth="1"/>
    <col min="16" max="16" width="38.140625" style="15" bestFit="1" customWidth="1"/>
    <col min="17" max="17" width="33.140625" style="15" hidden="1" customWidth="1"/>
    <col min="18" max="20" width="33.140625" style="15" customWidth="1"/>
    <col min="21" max="21" width="62.140625" style="14" bestFit="1" customWidth="1"/>
    <col min="22" max="22" width="34.85546875" style="14" bestFit="1" customWidth="1"/>
    <col min="23" max="23" width="49.85546875" style="16" bestFit="1" customWidth="1"/>
    <col min="24" max="24" width="77" style="17" bestFit="1" customWidth="1"/>
    <col min="25" max="25" width="50.140625" style="17" bestFit="1" customWidth="1"/>
    <col min="26" max="26" width="23.7109375" style="1" bestFit="1" customWidth="1"/>
    <col min="27" max="27" width="30.140625" style="1" bestFit="1" customWidth="1"/>
    <col min="28" max="28" width="37.140625" style="13" bestFit="1" customWidth="1"/>
    <col min="29" max="29" width="33" style="18" bestFit="1" customWidth="1"/>
    <col min="30" max="30" width="49.140625" style="18" bestFit="1" customWidth="1"/>
    <col min="31" max="33" width="39.85546875" style="1"/>
    <col min="34" max="34" width="39.85546875" style="13"/>
    <col min="35" max="49" width="39.85546875" style="1"/>
    <col min="50" max="50" width="131.42578125" style="1" customWidth="1"/>
    <col min="51" max="51" width="255.7109375" style="1" customWidth="1"/>
    <col min="52" max="52" width="230.85546875" style="66" customWidth="1"/>
    <col min="53" max="53" width="175.5703125" style="1" customWidth="1"/>
    <col min="54" max="16384" width="39.85546875" style="1"/>
  </cols>
  <sheetData>
    <row r="1" spans="1:53" x14ac:dyDescent="0.25">
      <c r="E1" s="182" t="s">
        <v>0</v>
      </c>
      <c r="F1" s="182"/>
      <c r="G1" s="182"/>
      <c r="H1" s="182"/>
      <c r="I1" s="182"/>
      <c r="J1" s="182"/>
      <c r="K1" s="182"/>
      <c r="L1" s="182"/>
      <c r="M1" s="182"/>
      <c r="N1" s="182"/>
      <c r="O1" s="182"/>
      <c r="P1" s="182"/>
      <c r="Q1" s="182"/>
      <c r="R1" s="182"/>
      <c r="S1" s="182"/>
      <c r="T1" s="182"/>
      <c r="U1" s="182"/>
      <c r="V1" s="182"/>
      <c r="W1" s="182"/>
      <c r="X1" s="182"/>
      <c r="Y1" s="182"/>
      <c r="Z1" s="182"/>
      <c r="AA1" s="182"/>
      <c r="AB1" s="182"/>
      <c r="AC1" s="182"/>
      <c r="AD1" s="182"/>
      <c r="AE1" s="182"/>
      <c r="AF1" s="182"/>
      <c r="AG1" s="182"/>
      <c r="AH1" s="182"/>
      <c r="AI1" s="182"/>
    </row>
    <row r="2" spans="1:53" ht="105" customHeight="1" x14ac:dyDescent="0.25">
      <c r="A2" s="3" t="s">
        <v>1</v>
      </c>
      <c r="B2" s="3" t="s">
        <v>2</v>
      </c>
      <c r="C2" s="3" t="s">
        <v>3</v>
      </c>
      <c r="D2" s="4" t="s">
        <v>4</v>
      </c>
      <c r="E2" s="4" t="s">
        <v>5</v>
      </c>
      <c r="F2" s="3" t="s">
        <v>6</v>
      </c>
      <c r="G2" s="3" t="s">
        <v>7</v>
      </c>
      <c r="H2" s="5" t="s">
        <v>8</v>
      </c>
      <c r="I2" s="3" t="s">
        <v>9</v>
      </c>
      <c r="J2" s="3" t="s">
        <v>10</v>
      </c>
      <c r="K2" s="3" t="s">
        <v>11</v>
      </c>
      <c r="L2" s="5" t="s">
        <v>12</v>
      </c>
      <c r="M2" s="5" t="s">
        <v>13</v>
      </c>
      <c r="N2" s="45" t="s">
        <v>155</v>
      </c>
      <c r="O2" s="46" t="s">
        <v>156</v>
      </c>
      <c r="P2" s="46" t="s">
        <v>157</v>
      </c>
      <c r="Q2" s="44" t="s">
        <v>141</v>
      </c>
      <c r="R2" s="86" t="s">
        <v>189</v>
      </c>
      <c r="S2" s="87" t="s">
        <v>190</v>
      </c>
      <c r="T2" s="87" t="s">
        <v>191</v>
      </c>
      <c r="U2" s="6" t="s">
        <v>14</v>
      </c>
      <c r="V2" s="21" t="s">
        <v>15</v>
      </c>
      <c r="W2" s="6" t="s">
        <v>16</v>
      </c>
      <c r="X2" s="7" t="s">
        <v>17</v>
      </c>
      <c r="Y2" s="8" t="s">
        <v>18</v>
      </c>
      <c r="Z2" s="9" t="s">
        <v>19</v>
      </c>
      <c r="AA2" s="9" t="s">
        <v>20</v>
      </c>
      <c r="AB2" s="10" t="s">
        <v>21</v>
      </c>
      <c r="AC2" s="10" t="s">
        <v>22</v>
      </c>
      <c r="AD2" s="50" t="s">
        <v>158</v>
      </c>
      <c r="AE2" s="51" t="s">
        <v>159</v>
      </c>
      <c r="AF2" s="91" t="s">
        <v>193</v>
      </c>
      <c r="AG2" s="92" t="s">
        <v>208</v>
      </c>
      <c r="AH2" s="3" t="s">
        <v>23</v>
      </c>
      <c r="AI2" s="3" t="s">
        <v>24</v>
      </c>
      <c r="AJ2" s="5" t="s">
        <v>25</v>
      </c>
      <c r="AK2" s="11" t="s">
        <v>26</v>
      </c>
      <c r="AL2" s="12" t="s">
        <v>27</v>
      </c>
      <c r="AM2" s="3" t="s">
        <v>28</v>
      </c>
      <c r="AN2" s="3" t="s">
        <v>29</v>
      </c>
      <c r="AO2" s="5" t="s">
        <v>30</v>
      </c>
      <c r="AP2" s="5" t="s">
        <v>31</v>
      </c>
      <c r="AQ2" s="5" t="s">
        <v>32</v>
      </c>
      <c r="AR2" s="58" t="s">
        <v>160</v>
      </c>
      <c r="AS2" s="58" t="s">
        <v>161</v>
      </c>
      <c r="AT2" s="58" t="s">
        <v>162</v>
      </c>
      <c r="AU2" s="94" t="s">
        <v>204</v>
      </c>
      <c r="AV2" s="94" t="s">
        <v>205</v>
      </c>
      <c r="AW2" s="94" t="s">
        <v>206</v>
      </c>
      <c r="AX2" s="37" t="s">
        <v>143</v>
      </c>
      <c r="AY2" s="63" t="s">
        <v>184</v>
      </c>
      <c r="AZ2" s="101" t="s">
        <v>197</v>
      </c>
    </row>
    <row r="3" spans="1:53" s="26" customFormat="1" ht="311.25" customHeight="1" x14ac:dyDescent="0.25">
      <c r="A3" s="22" t="s">
        <v>33</v>
      </c>
      <c r="B3" s="22" t="s">
        <v>34</v>
      </c>
      <c r="C3" s="22" t="s">
        <v>35</v>
      </c>
      <c r="D3" s="23">
        <v>1049212</v>
      </c>
      <c r="E3" s="23">
        <v>136397.56</v>
      </c>
      <c r="F3" s="165" t="s">
        <v>36</v>
      </c>
      <c r="G3" s="24" t="s">
        <v>37</v>
      </c>
      <c r="H3" s="22" t="s">
        <v>38</v>
      </c>
      <c r="I3" s="23">
        <v>5260</v>
      </c>
      <c r="J3" s="22" t="s">
        <v>39</v>
      </c>
      <c r="K3" s="25">
        <v>5400</v>
      </c>
      <c r="L3" s="25">
        <v>5200</v>
      </c>
      <c r="M3" s="25">
        <v>6587</v>
      </c>
      <c r="N3" s="38">
        <f>2626+3961</f>
        <v>6587</v>
      </c>
      <c r="O3" s="53">
        <v>1</v>
      </c>
      <c r="P3" s="183">
        <f>(O3+O4+O5)/3</f>
        <v>0.66666666666666663</v>
      </c>
      <c r="Q3" s="35">
        <f>N3/K3</f>
        <v>1.2198148148148149</v>
      </c>
      <c r="R3" s="126">
        <f>2626+3961+3813</f>
        <v>10400</v>
      </c>
      <c r="S3" s="83">
        <v>1</v>
      </c>
      <c r="T3" s="193">
        <f>(S3+S4+S5)/3</f>
        <v>0.66666666666666663</v>
      </c>
      <c r="U3" s="175" t="s">
        <v>40</v>
      </c>
      <c r="V3" s="152">
        <v>2020130010053</v>
      </c>
      <c r="W3" s="152" t="s">
        <v>41</v>
      </c>
      <c r="X3" s="152" t="s">
        <v>42</v>
      </c>
      <c r="Y3" s="153">
        <v>2202943908</v>
      </c>
      <c r="Z3" s="150">
        <v>44572</v>
      </c>
      <c r="AA3" s="153">
        <v>354</v>
      </c>
      <c r="AB3" s="25">
        <v>5200</v>
      </c>
      <c r="AC3" s="25">
        <v>5200</v>
      </c>
      <c r="AD3" s="68">
        <f>3961+ 2626</f>
        <v>6587</v>
      </c>
      <c r="AE3" s="53">
        <v>1</v>
      </c>
      <c r="AF3" s="112">
        <f>3961+ 2626+3813</f>
        <v>10400</v>
      </c>
      <c r="AG3" s="83">
        <v>1</v>
      </c>
      <c r="AH3" s="152" t="s">
        <v>43</v>
      </c>
      <c r="AI3" s="152" t="s">
        <v>44</v>
      </c>
      <c r="AJ3" s="152" t="s">
        <v>45</v>
      </c>
      <c r="AK3" s="153">
        <v>2202943908</v>
      </c>
      <c r="AL3" s="175" t="s">
        <v>46</v>
      </c>
      <c r="AM3" s="155" t="s">
        <v>126</v>
      </c>
      <c r="AN3" s="152" t="s">
        <v>125</v>
      </c>
      <c r="AO3" s="152" t="s">
        <v>139</v>
      </c>
      <c r="AP3" s="152" t="s">
        <v>140</v>
      </c>
      <c r="AQ3" s="150">
        <v>44572</v>
      </c>
      <c r="AR3" s="131">
        <v>2202943908</v>
      </c>
      <c r="AS3" s="132">
        <v>1401264000</v>
      </c>
      <c r="AT3" s="128">
        <f>AS3/AR3</f>
        <v>0.63608700834882992</v>
      </c>
      <c r="AU3" s="181">
        <v>2202943908</v>
      </c>
      <c r="AV3" s="177">
        <v>1401264000</v>
      </c>
      <c r="AW3" s="179">
        <f>AV3/AU3</f>
        <v>0.63608700834882992</v>
      </c>
      <c r="AX3" s="151" t="s">
        <v>152</v>
      </c>
      <c r="AY3" s="64" t="s">
        <v>164</v>
      </c>
      <c r="AZ3" s="102" t="s">
        <v>200</v>
      </c>
    </row>
    <row r="4" spans="1:53" s="26" customFormat="1" ht="105.75" customHeight="1" x14ac:dyDescent="0.25">
      <c r="A4" s="22" t="s">
        <v>33</v>
      </c>
      <c r="B4" s="22" t="s">
        <v>34</v>
      </c>
      <c r="C4" s="22" t="s">
        <v>35</v>
      </c>
      <c r="D4" s="23">
        <v>1049212</v>
      </c>
      <c r="E4" s="23">
        <v>136397.56</v>
      </c>
      <c r="F4" s="165"/>
      <c r="G4" s="24" t="s">
        <v>47</v>
      </c>
      <c r="H4" s="22" t="s">
        <v>38</v>
      </c>
      <c r="I4" s="23">
        <v>50</v>
      </c>
      <c r="J4" s="22" t="s">
        <v>48</v>
      </c>
      <c r="K4" s="25">
        <v>54</v>
      </c>
      <c r="L4" s="25">
        <v>52</v>
      </c>
      <c r="M4" s="25">
        <v>51</v>
      </c>
      <c r="N4" s="38">
        <v>52</v>
      </c>
      <c r="O4" s="47">
        <f t="shared" ref="O4:O27" si="0">N4/L4</f>
        <v>1</v>
      </c>
      <c r="P4" s="184"/>
      <c r="Q4" s="35">
        <f t="shared" ref="Q4:Q27" si="1">N4/K4</f>
        <v>0.96296296296296291</v>
      </c>
      <c r="R4" s="126">
        <v>52</v>
      </c>
      <c r="S4" s="109">
        <f>R4/L4</f>
        <v>1</v>
      </c>
      <c r="T4" s="194"/>
      <c r="U4" s="175"/>
      <c r="V4" s="152"/>
      <c r="W4" s="152"/>
      <c r="X4" s="152"/>
      <c r="Y4" s="153"/>
      <c r="Z4" s="150"/>
      <c r="AA4" s="153"/>
      <c r="AB4" s="25">
        <v>52</v>
      </c>
      <c r="AC4" s="25">
        <f>+AB4</f>
        <v>52</v>
      </c>
      <c r="AD4" s="52">
        <v>52</v>
      </c>
      <c r="AE4" s="67">
        <f t="shared" ref="AE4:AE8" si="2">AD4/L4</f>
        <v>1</v>
      </c>
      <c r="AF4" s="113">
        <v>52</v>
      </c>
      <c r="AG4" s="88">
        <f t="shared" ref="AG4:AG17" si="3">AF4/AB4</f>
        <v>1</v>
      </c>
      <c r="AH4" s="152"/>
      <c r="AI4" s="152"/>
      <c r="AJ4" s="152"/>
      <c r="AK4" s="153"/>
      <c r="AL4" s="175"/>
      <c r="AM4" s="155"/>
      <c r="AN4" s="152"/>
      <c r="AO4" s="152"/>
      <c r="AP4" s="152"/>
      <c r="AQ4" s="150"/>
      <c r="AR4" s="131"/>
      <c r="AS4" s="133"/>
      <c r="AT4" s="130"/>
      <c r="AU4" s="181"/>
      <c r="AV4" s="178"/>
      <c r="AW4" s="180"/>
      <c r="AX4" s="151"/>
      <c r="AY4" s="65" t="s">
        <v>165</v>
      </c>
      <c r="AZ4" s="103" t="s">
        <v>203</v>
      </c>
    </row>
    <row r="5" spans="1:53" s="26" customFormat="1" ht="409.5" customHeight="1" x14ac:dyDescent="0.25">
      <c r="A5" s="22" t="s">
        <v>33</v>
      </c>
      <c r="B5" s="22" t="s">
        <v>34</v>
      </c>
      <c r="C5" s="22" t="s">
        <v>35</v>
      </c>
      <c r="D5" s="23">
        <v>1049212</v>
      </c>
      <c r="E5" s="23">
        <v>136397.56</v>
      </c>
      <c r="F5" s="165"/>
      <c r="G5" s="24" t="s">
        <v>49</v>
      </c>
      <c r="H5" s="22" t="s">
        <v>38</v>
      </c>
      <c r="I5" s="23">
        <v>10176</v>
      </c>
      <c r="J5" s="22" t="s">
        <v>50</v>
      </c>
      <c r="K5" s="25">
        <v>10176</v>
      </c>
      <c r="L5" s="25">
        <v>4745</v>
      </c>
      <c r="M5" s="25">
        <v>5431</v>
      </c>
      <c r="N5" s="38">
        <v>0</v>
      </c>
      <c r="O5" s="47">
        <f t="shared" si="0"/>
        <v>0</v>
      </c>
      <c r="P5" s="185"/>
      <c r="Q5" s="35">
        <f t="shared" si="1"/>
        <v>0</v>
      </c>
      <c r="R5" s="126">
        <v>0</v>
      </c>
      <c r="S5" s="83">
        <f>R5/L5</f>
        <v>0</v>
      </c>
      <c r="T5" s="195"/>
      <c r="U5" s="29" t="s">
        <v>51</v>
      </c>
      <c r="V5" s="31">
        <v>2020130010194</v>
      </c>
      <c r="W5" s="31" t="s">
        <v>52</v>
      </c>
      <c r="X5" s="31" t="s">
        <v>53</v>
      </c>
      <c r="Y5" s="28">
        <v>361316776</v>
      </c>
      <c r="Z5" s="32">
        <v>44572</v>
      </c>
      <c r="AA5" s="25">
        <v>354</v>
      </c>
      <c r="AB5" s="25">
        <v>4745</v>
      </c>
      <c r="AC5" s="25">
        <v>4745</v>
      </c>
      <c r="AD5" s="52">
        <v>0</v>
      </c>
      <c r="AE5" s="53">
        <f t="shared" si="2"/>
        <v>0</v>
      </c>
      <c r="AF5" s="113">
        <v>0</v>
      </c>
      <c r="AG5" s="83">
        <f t="shared" si="3"/>
        <v>0</v>
      </c>
      <c r="AH5" s="31" t="s">
        <v>43</v>
      </c>
      <c r="AI5" s="31" t="s">
        <v>44</v>
      </c>
      <c r="AJ5" s="31" t="s">
        <v>45</v>
      </c>
      <c r="AK5" s="28">
        <v>361316776</v>
      </c>
      <c r="AL5" s="30" t="s">
        <v>54</v>
      </c>
      <c r="AM5" s="39" t="s">
        <v>128</v>
      </c>
      <c r="AN5" s="31" t="s">
        <v>127</v>
      </c>
      <c r="AO5" s="31" t="s">
        <v>139</v>
      </c>
      <c r="AP5" s="31" t="s">
        <v>140</v>
      </c>
      <c r="AQ5" s="32">
        <v>44572</v>
      </c>
      <c r="AR5" s="59">
        <v>361316776</v>
      </c>
      <c r="AS5" s="54">
        <v>145008000</v>
      </c>
      <c r="AT5" s="60">
        <f>AS5/AR5</f>
        <v>0.40133204332588202</v>
      </c>
      <c r="AU5" s="99">
        <v>361316776</v>
      </c>
      <c r="AV5" s="100">
        <v>145008000</v>
      </c>
      <c r="AW5" s="98">
        <f>AV5/AU5</f>
        <v>0.40133204332588202</v>
      </c>
      <c r="AX5" s="36" t="s">
        <v>147</v>
      </c>
      <c r="AY5" s="72" t="s">
        <v>163</v>
      </c>
      <c r="AZ5" s="104" t="s">
        <v>202</v>
      </c>
    </row>
    <row r="6" spans="1:53" s="26" customFormat="1" ht="281.25" customHeight="1" x14ac:dyDescent="0.25">
      <c r="A6" s="22" t="s">
        <v>33</v>
      </c>
      <c r="B6" s="22" t="s">
        <v>34</v>
      </c>
      <c r="C6" s="22" t="s">
        <v>35</v>
      </c>
      <c r="D6" s="23">
        <v>1049212</v>
      </c>
      <c r="E6" s="23">
        <v>136397.56</v>
      </c>
      <c r="F6" s="165" t="s">
        <v>55</v>
      </c>
      <c r="G6" s="24" t="s">
        <v>56</v>
      </c>
      <c r="H6" s="22" t="s">
        <v>38</v>
      </c>
      <c r="I6" s="23">
        <v>375</v>
      </c>
      <c r="J6" s="22" t="s">
        <v>57</v>
      </c>
      <c r="K6" s="25">
        <v>400</v>
      </c>
      <c r="L6" s="25">
        <v>150</v>
      </c>
      <c r="M6" s="25">
        <v>106</v>
      </c>
      <c r="N6" s="38">
        <v>0</v>
      </c>
      <c r="O6" s="47">
        <f t="shared" si="0"/>
        <v>0</v>
      </c>
      <c r="P6" s="172">
        <f>(O6+O7+O8+O9)/4</f>
        <v>9.375E-2</v>
      </c>
      <c r="Q6" s="35">
        <f t="shared" si="1"/>
        <v>0</v>
      </c>
      <c r="R6" s="126">
        <v>56</v>
      </c>
      <c r="S6" s="83">
        <f>R6/L6</f>
        <v>0.37333333333333335</v>
      </c>
      <c r="T6" s="196">
        <f>(S6+S7+S8+S9)/4</f>
        <v>0.71833333333333327</v>
      </c>
      <c r="U6" s="175" t="s">
        <v>58</v>
      </c>
      <c r="V6" s="152">
        <v>2020130010038</v>
      </c>
      <c r="W6" s="152" t="s">
        <v>59</v>
      </c>
      <c r="X6" s="152" t="s">
        <v>60</v>
      </c>
      <c r="Y6" s="153">
        <v>2381664013</v>
      </c>
      <c r="Z6" s="150">
        <v>44572</v>
      </c>
      <c r="AA6" s="153">
        <v>354</v>
      </c>
      <c r="AB6" s="25">
        <v>150</v>
      </c>
      <c r="AC6" s="25">
        <v>150</v>
      </c>
      <c r="AD6" s="52">
        <v>0</v>
      </c>
      <c r="AE6" s="53">
        <f t="shared" si="2"/>
        <v>0</v>
      </c>
      <c r="AF6" s="113">
        <v>56</v>
      </c>
      <c r="AG6" s="83">
        <f t="shared" si="3"/>
        <v>0.37333333333333335</v>
      </c>
      <c r="AH6" s="152" t="s">
        <v>43</v>
      </c>
      <c r="AI6" s="152" t="s">
        <v>44</v>
      </c>
      <c r="AJ6" s="152" t="s">
        <v>45</v>
      </c>
      <c r="AK6" s="153">
        <v>2381664013</v>
      </c>
      <c r="AL6" s="175" t="s">
        <v>46</v>
      </c>
      <c r="AM6" s="176" t="s">
        <v>129</v>
      </c>
      <c r="AN6" s="152" t="s">
        <v>130</v>
      </c>
      <c r="AO6" s="152" t="s">
        <v>139</v>
      </c>
      <c r="AP6" s="152" t="s">
        <v>140</v>
      </c>
      <c r="AQ6" s="150">
        <v>44572</v>
      </c>
      <c r="AR6" s="131">
        <v>2381664013</v>
      </c>
      <c r="AS6" s="134">
        <v>344184000</v>
      </c>
      <c r="AT6" s="128">
        <f>AS6/AR6</f>
        <v>0.14451408684067815</v>
      </c>
      <c r="AU6" s="181">
        <v>2381664013</v>
      </c>
      <c r="AV6" s="189">
        <v>344184000</v>
      </c>
      <c r="AW6" s="179">
        <f>AV6/AU6</f>
        <v>0.14451408684067815</v>
      </c>
      <c r="AX6" s="151" t="s">
        <v>151</v>
      </c>
      <c r="AY6" s="65" t="s">
        <v>166</v>
      </c>
      <c r="AZ6" s="103" t="s">
        <v>201</v>
      </c>
    </row>
    <row r="7" spans="1:53" s="26" customFormat="1" ht="151.5" customHeight="1" x14ac:dyDescent="0.25">
      <c r="A7" s="22" t="s">
        <v>33</v>
      </c>
      <c r="B7" s="22" t="s">
        <v>34</v>
      </c>
      <c r="C7" s="22" t="s">
        <v>35</v>
      </c>
      <c r="D7" s="23">
        <v>1049212</v>
      </c>
      <c r="E7" s="23">
        <v>136397.56</v>
      </c>
      <c r="F7" s="165"/>
      <c r="G7" s="24" t="s">
        <v>61</v>
      </c>
      <c r="H7" s="22" t="s">
        <v>38</v>
      </c>
      <c r="I7" s="23">
        <v>0</v>
      </c>
      <c r="J7" s="22" t="s">
        <v>62</v>
      </c>
      <c r="K7" s="25">
        <v>4000</v>
      </c>
      <c r="L7" s="25">
        <v>1500</v>
      </c>
      <c r="M7" s="25">
        <v>3915</v>
      </c>
      <c r="N7" s="38">
        <v>0</v>
      </c>
      <c r="O7" s="47">
        <f t="shared" si="0"/>
        <v>0</v>
      </c>
      <c r="P7" s="173"/>
      <c r="Q7" s="35">
        <f t="shared" si="1"/>
        <v>0</v>
      </c>
      <c r="R7" s="126">
        <v>1619</v>
      </c>
      <c r="S7" s="83">
        <v>1</v>
      </c>
      <c r="T7" s="197"/>
      <c r="U7" s="175"/>
      <c r="V7" s="152"/>
      <c r="W7" s="152"/>
      <c r="X7" s="152"/>
      <c r="Y7" s="153"/>
      <c r="Z7" s="150"/>
      <c r="AA7" s="153"/>
      <c r="AB7" s="25">
        <v>1500</v>
      </c>
      <c r="AC7" s="25">
        <v>1500</v>
      </c>
      <c r="AD7" s="52">
        <v>0</v>
      </c>
      <c r="AE7" s="53">
        <f t="shared" si="2"/>
        <v>0</v>
      </c>
      <c r="AF7" s="113">
        <v>1619</v>
      </c>
      <c r="AG7" s="83">
        <f t="shared" si="3"/>
        <v>1.0793333333333333</v>
      </c>
      <c r="AH7" s="152"/>
      <c r="AI7" s="152"/>
      <c r="AJ7" s="152"/>
      <c r="AK7" s="153"/>
      <c r="AL7" s="175"/>
      <c r="AM7" s="176"/>
      <c r="AN7" s="152"/>
      <c r="AO7" s="152"/>
      <c r="AP7" s="152"/>
      <c r="AQ7" s="150"/>
      <c r="AR7" s="131"/>
      <c r="AS7" s="135"/>
      <c r="AT7" s="129"/>
      <c r="AU7" s="181"/>
      <c r="AV7" s="190"/>
      <c r="AW7" s="192"/>
      <c r="AX7" s="151"/>
      <c r="AY7" s="70" t="s">
        <v>167</v>
      </c>
      <c r="AZ7" s="105" t="s">
        <v>225</v>
      </c>
    </row>
    <row r="8" spans="1:53" s="26" customFormat="1" ht="342" customHeight="1" x14ac:dyDescent="0.25">
      <c r="A8" s="22" t="s">
        <v>33</v>
      </c>
      <c r="B8" s="22" t="s">
        <v>34</v>
      </c>
      <c r="C8" s="22" t="s">
        <v>35</v>
      </c>
      <c r="D8" s="23">
        <v>1049212</v>
      </c>
      <c r="E8" s="23">
        <v>136397.56</v>
      </c>
      <c r="F8" s="165"/>
      <c r="G8" s="24" t="s">
        <v>63</v>
      </c>
      <c r="H8" s="22" t="s">
        <v>38</v>
      </c>
      <c r="I8" s="23">
        <v>288</v>
      </c>
      <c r="J8" s="22" t="s">
        <v>64</v>
      </c>
      <c r="K8" s="25">
        <v>576</v>
      </c>
      <c r="L8" s="25">
        <v>200</v>
      </c>
      <c r="M8" s="25">
        <v>516</v>
      </c>
      <c r="N8" s="38">
        <v>0</v>
      </c>
      <c r="O8" s="47">
        <f t="shared" si="0"/>
        <v>0</v>
      </c>
      <c r="P8" s="173"/>
      <c r="Q8" s="35">
        <f t="shared" si="1"/>
        <v>0</v>
      </c>
      <c r="R8" s="126">
        <v>554</v>
      </c>
      <c r="S8" s="83">
        <v>1</v>
      </c>
      <c r="T8" s="197"/>
      <c r="U8" s="175"/>
      <c r="V8" s="152"/>
      <c r="W8" s="152"/>
      <c r="X8" s="152"/>
      <c r="Y8" s="153"/>
      <c r="Z8" s="150"/>
      <c r="AA8" s="153"/>
      <c r="AB8" s="25">
        <v>200</v>
      </c>
      <c r="AC8" s="25">
        <v>200</v>
      </c>
      <c r="AD8" s="52">
        <v>0</v>
      </c>
      <c r="AE8" s="53">
        <f t="shared" si="2"/>
        <v>0</v>
      </c>
      <c r="AF8" s="113">
        <v>554</v>
      </c>
      <c r="AG8" s="83">
        <v>1</v>
      </c>
      <c r="AH8" s="152"/>
      <c r="AI8" s="152"/>
      <c r="AJ8" s="152"/>
      <c r="AK8" s="153"/>
      <c r="AL8" s="175"/>
      <c r="AM8" s="176"/>
      <c r="AN8" s="152"/>
      <c r="AO8" s="152"/>
      <c r="AP8" s="152"/>
      <c r="AQ8" s="150"/>
      <c r="AR8" s="131"/>
      <c r="AS8" s="135"/>
      <c r="AT8" s="129"/>
      <c r="AU8" s="181"/>
      <c r="AV8" s="190"/>
      <c r="AW8" s="192"/>
      <c r="AX8" s="151"/>
      <c r="AY8" s="70" t="s">
        <v>176</v>
      </c>
      <c r="AZ8" s="114" t="s">
        <v>199</v>
      </c>
    </row>
    <row r="9" spans="1:53" s="26" customFormat="1" ht="188.25" customHeight="1" x14ac:dyDescent="0.25">
      <c r="A9" s="22" t="s">
        <v>33</v>
      </c>
      <c r="B9" s="22" t="s">
        <v>34</v>
      </c>
      <c r="C9" s="22" t="s">
        <v>35</v>
      </c>
      <c r="D9" s="23">
        <v>1049212</v>
      </c>
      <c r="E9" s="23">
        <v>136397.56</v>
      </c>
      <c r="F9" s="165"/>
      <c r="G9" s="24" t="s">
        <v>65</v>
      </c>
      <c r="H9" s="22" t="s">
        <v>38</v>
      </c>
      <c r="I9" s="23">
        <v>49</v>
      </c>
      <c r="J9" s="22" t="s">
        <v>66</v>
      </c>
      <c r="K9" s="25">
        <v>20</v>
      </c>
      <c r="L9" s="25">
        <v>8</v>
      </c>
      <c r="M9" s="25">
        <v>32</v>
      </c>
      <c r="N9" s="38">
        <v>3</v>
      </c>
      <c r="O9" s="47">
        <f t="shared" si="0"/>
        <v>0.375</v>
      </c>
      <c r="P9" s="174"/>
      <c r="Q9" s="35">
        <f t="shared" si="1"/>
        <v>0.15</v>
      </c>
      <c r="R9" s="126">
        <f>N9+1</f>
        <v>4</v>
      </c>
      <c r="S9" s="83">
        <f t="shared" ref="S9:S17" si="4">R9/L9</f>
        <v>0.5</v>
      </c>
      <c r="T9" s="198"/>
      <c r="U9" s="175"/>
      <c r="V9" s="152"/>
      <c r="W9" s="152"/>
      <c r="X9" s="152"/>
      <c r="Y9" s="153"/>
      <c r="Z9" s="150"/>
      <c r="AA9" s="153"/>
      <c r="AB9" s="25">
        <v>1000</v>
      </c>
      <c r="AC9" s="25">
        <v>1000</v>
      </c>
      <c r="AD9" s="52">
        <v>3</v>
      </c>
      <c r="AE9" s="53">
        <f>AD9/AB9</f>
        <v>3.0000000000000001E-3</v>
      </c>
      <c r="AF9" s="113">
        <f>3+1</f>
        <v>4</v>
      </c>
      <c r="AG9" s="83">
        <f t="shared" si="3"/>
        <v>4.0000000000000001E-3</v>
      </c>
      <c r="AH9" s="152"/>
      <c r="AI9" s="152"/>
      <c r="AJ9" s="152"/>
      <c r="AK9" s="153"/>
      <c r="AL9" s="175"/>
      <c r="AM9" s="176"/>
      <c r="AN9" s="152"/>
      <c r="AO9" s="152"/>
      <c r="AP9" s="152"/>
      <c r="AQ9" s="150"/>
      <c r="AR9" s="131"/>
      <c r="AS9" s="136"/>
      <c r="AT9" s="130"/>
      <c r="AU9" s="181"/>
      <c r="AV9" s="191"/>
      <c r="AW9" s="180"/>
      <c r="AX9" s="151"/>
      <c r="AY9" s="73" t="s">
        <v>173</v>
      </c>
      <c r="AZ9" s="115" t="s">
        <v>198</v>
      </c>
      <c r="BA9" s="26" t="s">
        <v>168</v>
      </c>
    </row>
    <row r="10" spans="1:53" s="26" customFormat="1" ht="303" customHeight="1" x14ac:dyDescent="0.25">
      <c r="A10" s="22" t="s">
        <v>33</v>
      </c>
      <c r="B10" s="22" t="s">
        <v>34</v>
      </c>
      <c r="C10" s="22" t="s">
        <v>35</v>
      </c>
      <c r="D10" s="23">
        <v>1049212</v>
      </c>
      <c r="E10" s="23">
        <v>136397.56</v>
      </c>
      <c r="F10" s="165" t="s">
        <v>67</v>
      </c>
      <c r="G10" s="24" t="s">
        <v>68</v>
      </c>
      <c r="H10" s="22" t="s">
        <v>38</v>
      </c>
      <c r="I10" s="23">
        <v>100881</v>
      </c>
      <c r="J10" s="22" t="s">
        <v>69</v>
      </c>
      <c r="K10" s="25">
        <v>120000</v>
      </c>
      <c r="L10" s="25">
        <v>30000</v>
      </c>
      <c r="M10" s="25">
        <v>76553</v>
      </c>
      <c r="N10" s="38">
        <v>0</v>
      </c>
      <c r="O10" s="47">
        <f t="shared" si="0"/>
        <v>0</v>
      </c>
      <c r="P10" s="128">
        <f>(O10+O11)/2</f>
        <v>0</v>
      </c>
      <c r="Q10" s="35">
        <f t="shared" si="1"/>
        <v>0</v>
      </c>
      <c r="R10" s="127">
        <v>0</v>
      </c>
      <c r="S10" s="83">
        <f t="shared" si="4"/>
        <v>0</v>
      </c>
      <c r="T10" s="179">
        <f>(S10+S11)/2</f>
        <v>0</v>
      </c>
      <c r="U10" s="154" t="s">
        <v>70</v>
      </c>
      <c r="V10" s="152" t="s">
        <v>71</v>
      </c>
      <c r="W10" s="152" t="s">
        <v>72</v>
      </c>
      <c r="X10" s="152" t="s">
        <v>73</v>
      </c>
      <c r="Y10" s="153">
        <v>2032948654</v>
      </c>
      <c r="Z10" s="150">
        <v>44572</v>
      </c>
      <c r="AA10" s="153">
        <v>354</v>
      </c>
      <c r="AB10" s="25">
        <v>30000</v>
      </c>
      <c r="AC10" s="25">
        <v>30000</v>
      </c>
      <c r="AD10" s="52">
        <v>0</v>
      </c>
      <c r="AE10" s="53">
        <f>AD10/L10</f>
        <v>0</v>
      </c>
      <c r="AF10" s="113">
        <v>0</v>
      </c>
      <c r="AG10" s="83">
        <f t="shared" si="3"/>
        <v>0</v>
      </c>
      <c r="AH10" s="152" t="s">
        <v>43</v>
      </c>
      <c r="AI10" s="152" t="s">
        <v>44</v>
      </c>
      <c r="AJ10" s="152" t="s">
        <v>45</v>
      </c>
      <c r="AK10" s="153">
        <v>2032948654</v>
      </c>
      <c r="AL10" s="154" t="s">
        <v>46</v>
      </c>
      <c r="AM10" s="155" t="s">
        <v>132</v>
      </c>
      <c r="AN10" s="152" t="s">
        <v>131</v>
      </c>
      <c r="AO10" s="152" t="s">
        <v>139</v>
      </c>
      <c r="AP10" s="152" t="s">
        <v>140</v>
      </c>
      <c r="AQ10" s="150">
        <v>44572</v>
      </c>
      <c r="AR10" s="131">
        <v>2032948654</v>
      </c>
      <c r="AS10" s="134">
        <v>390543520</v>
      </c>
      <c r="AT10" s="128">
        <f>AS10/AR10</f>
        <v>0.19210692765484869</v>
      </c>
      <c r="AU10" s="181">
        <v>2032948654</v>
      </c>
      <c r="AV10" s="189">
        <v>390543520</v>
      </c>
      <c r="AW10" s="179">
        <f>AV10/AU10</f>
        <v>0.19210692765484869</v>
      </c>
      <c r="AX10" s="151" t="s">
        <v>146</v>
      </c>
      <c r="AY10" s="65" t="s">
        <v>169</v>
      </c>
      <c r="AZ10" s="121" t="s">
        <v>214</v>
      </c>
    </row>
    <row r="11" spans="1:53" s="26" customFormat="1" ht="257.25" customHeight="1" x14ac:dyDescent="0.25">
      <c r="A11" s="22" t="s">
        <v>33</v>
      </c>
      <c r="B11" s="22" t="s">
        <v>34</v>
      </c>
      <c r="C11" s="22" t="s">
        <v>35</v>
      </c>
      <c r="D11" s="23">
        <v>1049212</v>
      </c>
      <c r="E11" s="23">
        <v>136397.56</v>
      </c>
      <c r="F11" s="165"/>
      <c r="G11" s="24" t="s">
        <v>74</v>
      </c>
      <c r="H11" s="22" t="s">
        <v>38</v>
      </c>
      <c r="I11" s="23">
        <v>12</v>
      </c>
      <c r="J11" s="22" t="s">
        <v>75</v>
      </c>
      <c r="K11" s="25">
        <v>15</v>
      </c>
      <c r="L11" s="25">
        <v>6</v>
      </c>
      <c r="M11" s="25">
        <v>6</v>
      </c>
      <c r="N11" s="38">
        <v>0</v>
      </c>
      <c r="O11" s="47">
        <f t="shared" si="0"/>
        <v>0</v>
      </c>
      <c r="P11" s="130"/>
      <c r="Q11" s="35">
        <f t="shared" si="1"/>
        <v>0</v>
      </c>
      <c r="R11" s="126">
        <v>0</v>
      </c>
      <c r="S11" s="83">
        <f t="shared" si="4"/>
        <v>0</v>
      </c>
      <c r="T11" s="180"/>
      <c r="U11" s="154"/>
      <c r="V11" s="152"/>
      <c r="W11" s="152"/>
      <c r="X11" s="152"/>
      <c r="Y11" s="153"/>
      <c r="Z11" s="150"/>
      <c r="AA11" s="153"/>
      <c r="AB11" s="25">
        <v>30000</v>
      </c>
      <c r="AC11" s="25">
        <v>30000</v>
      </c>
      <c r="AD11" s="52">
        <v>0</v>
      </c>
      <c r="AE11" s="53">
        <f>AD11/AB11</f>
        <v>0</v>
      </c>
      <c r="AF11" s="113">
        <v>0</v>
      </c>
      <c r="AG11" s="83">
        <f t="shared" si="3"/>
        <v>0</v>
      </c>
      <c r="AH11" s="152"/>
      <c r="AI11" s="152"/>
      <c r="AJ11" s="152"/>
      <c r="AK11" s="153"/>
      <c r="AL11" s="154"/>
      <c r="AM11" s="155"/>
      <c r="AN11" s="152"/>
      <c r="AO11" s="152"/>
      <c r="AP11" s="152"/>
      <c r="AQ11" s="150"/>
      <c r="AR11" s="131"/>
      <c r="AS11" s="136"/>
      <c r="AT11" s="130"/>
      <c r="AU11" s="181"/>
      <c r="AV11" s="191"/>
      <c r="AW11" s="180"/>
      <c r="AX11" s="151"/>
      <c r="AY11" s="71" t="s">
        <v>169</v>
      </c>
      <c r="AZ11" s="103" t="s">
        <v>215</v>
      </c>
    </row>
    <row r="12" spans="1:53" s="26" customFormat="1" ht="339" customHeight="1" x14ac:dyDescent="0.25">
      <c r="A12" s="22" t="s">
        <v>33</v>
      </c>
      <c r="B12" s="22" t="s">
        <v>34</v>
      </c>
      <c r="C12" s="22" t="s">
        <v>76</v>
      </c>
      <c r="D12" s="23">
        <v>1049212</v>
      </c>
      <c r="E12" s="23">
        <v>83936.960000000006</v>
      </c>
      <c r="F12" s="165" t="s">
        <v>77</v>
      </c>
      <c r="G12" s="24" t="s">
        <v>78</v>
      </c>
      <c r="H12" s="22" t="s">
        <v>38</v>
      </c>
      <c r="I12" s="23">
        <v>13310</v>
      </c>
      <c r="J12" s="22" t="s">
        <v>79</v>
      </c>
      <c r="K12" s="25">
        <v>14131</v>
      </c>
      <c r="L12" s="25">
        <v>12561</v>
      </c>
      <c r="M12" s="25">
        <v>39996</v>
      </c>
      <c r="N12" s="27">
        <f>422+1531+204+1427+388+38+397+3316+45+1550+777+90</f>
        <v>10185</v>
      </c>
      <c r="O12" s="47">
        <f t="shared" si="0"/>
        <v>0.81084308574158104</v>
      </c>
      <c r="P12" s="172">
        <f>AVERAGE(O12:O14)</f>
        <v>0.27028102858052699</v>
      </c>
      <c r="Q12" s="35">
        <f t="shared" si="1"/>
        <v>0.72075578515320926</v>
      </c>
      <c r="R12" s="119">
        <f>422+1531+204+1427+388+38+397+3316+45+1550+777+90+2885+469+20</f>
        <v>13559</v>
      </c>
      <c r="S12" s="83">
        <f t="shared" si="4"/>
        <v>1.0794522729082079</v>
      </c>
      <c r="T12" s="196">
        <f>AVERAGE(S12:S14)</f>
        <v>0.46835075763606926</v>
      </c>
      <c r="U12" s="154" t="s">
        <v>80</v>
      </c>
      <c r="V12" s="152">
        <v>2020130010055</v>
      </c>
      <c r="W12" s="152" t="s">
        <v>81</v>
      </c>
      <c r="X12" s="152" t="s">
        <v>82</v>
      </c>
      <c r="Y12" s="153">
        <v>2578666632</v>
      </c>
      <c r="Z12" s="150">
        <v>44572</v>
      </c>
      <c r="AA12" s="153">
        <v>354</v>
      </c>
      <c r="AB12" s="25">
        <v>12561</v>
      </c>
      <c r="AC12" s="25">
        <v>12561</v>
      </c>
      <c r="AD12" s="54">
        <f>422+1531+204+1427+388+38+397+3316+45+1550+777+90</f>
        <v>10185</v>
      </c>
      <c r="AE12" s="53">
        <f>AD12/L12</f>
        <v>0.81084308574158104</v>
      </c>
      <c r="AF12" s="100">
        <f>422+1531+204+1427+388+38+397+3316+45+1550+777+90+2885+469+20</f>
        <v>13559</v>
      </c>
      <c r="AG12" s="83">
        <v>1</v>
      </c>
      <c r="AH12" s="152" t="s">
        <v>43</v>
      </c>
      <c r="AI12" s="152" t="s">
        <v>44</v>
      </c>
      <c r="AJ12" s="152" t="s">
        <v>45</v>
      </c>
      <c r="AK12" s="153">
        <v>2578666632</v>
      </c>
      <c r="AL12" s="154" t="s">
        <v>46</v>
      </c>
      <c r="AM12" s="155" t="s">
        <v>134</v>
      </c>
      <c r="AN12" s="152" t="s">
        <v>133</v>
      </c>
      <c r="AO12" s="152" t="s">
        <v>139</v>
      </c>
      <c r="AP12" s="152" t="s">
        <v>140</v>
      </c>
      <c r="AQ12" s="150">
        <v>44572</v>
      </c>
      <c r="AR12" s="131">
        <v>2578666632</v>
      </c>
      <c r="AS12" s="134">
        <v>1302571520</v>
      </c>
      <c r="AT12" s="128">
        <f>AS12/AR12</f>
        <v>0.50513373998628608</v>
      </c>
      <c r="AU12" s="181">
        <v>2578666632</v>
      </c>
      <c r="AV12" s="189">
        <v>1331198958.24</v>
      </c>
      <c r="AW12" s="179">
        <f>AV12/AU12</f>
        <v>0.51623538371360911</v>
      </c>
      <c r="AX12" s="151" t="s">
        <v>149</v>
      </c>
      <c r="AY12" s="65" t="s">
        <v>171</v>
      </c>
      <c r="AZ12" s="103" t="s">
        <v>211</v>
      </c>
    </row>
    <row r="13" spans="1:53" s="26" customFormat="1" ht="72" customHeight="1" x14ac:dyDescent="0.25">
      <c r="A13" s="22" t="s">
        <v>33</v>
      </c>
      <c r="B13" s="22" t="s">
        <v>34</v>
      </c>
      <c r="C13" s="22" t="s">
        <v>76</v>
      </c>
      <c r="D13" s="23">
        <v>1049212</v>
      </c>
      <c r="E13" s="23">
        <v>83936.960000000006</v>
      </c>
      <c r="F13" s="165"/>
      <c r="G13" s="24" t="s">
        <v>83</v>
      </c>
      <c r="H13" s="22" t="s">
        <v>38</v>
      </c>
      <c r="I13" s="23">
        <v>14300</v>
      </c>
      <c r="J13" s="22" t="s">
        <v>84</v>
      </c>
      <c r="K13" s="25">
        <v>19448</v>
      </c>
      <c r="L13" s="25">
        <v>2500</v>
      </c>
      <c r="M13" s="25">
        <v>19033</v>
      </c>
      <c r="N13" s="38">
        <v>0</v>
      </c>
      <c r="O13" s="47">
        <f t="shared" si="0"/>
        <v>0</v>
      </c>
      <c r="P13" s="173"/>
      <c r="Q13" s="35">
        <f t="shared" si="1"/>
        <v>0</v>
      </c>
      <c r="R13" s="126">
        <v>314</v>
      </c>
      <c r="S13" s="83">
        <f t="shared" si="4"/>
        <v>0.12559999999999999</v>
      </c>
      <c r="T13" s="197"/>
      <c r="U13" s="154"/>
      <c r="V13" s="152"/>
      <c r="W13" s="152"/>
      <c r="X13" s="152"/>
      <c r="Y13" s="153"/>
      <c r="Z13" s="150"/>
      <c r="AA13" s="153"/>
      <c r="AB13" s="25">
        <v>2500</v>
      </c>
      <c r="AC13" s="25">
        <v>2500</v>
      </c>
      <c r="AD13" s="52">
        <v>0</v>
      </c>
      <c r="AE13" s="53">
        <f>AD13/L13</f>
        <v>0</v>
      </c>
      <c r="AF13" s="113">
        <v>314</v>
      </c>
      <c r="AG13" s="83">
        <f t="shared" si="3"/>
        <v>0.12559999999999999</v>
      </c>
      <c r="AH13" s="152"/>
      <c r="AI13" s="152"/>
      <c r="AJ13" s="152"/>
      <c r="AK13" s="153"/>
      <c r="AL13" s="154"/>
      <c r="AM13" s="155"/>
      <c r="AN13" s="152"/>
      <c r="AO13" s="152"/>
      <c r="AP13" s="152"/>
      <c r="AQ13" s="150"/>
      <c r="AR13" s="131"/>
      <c r="AS13" s="135"/>
      <c r="AT13" s="129"/>
      <c r="AU13" s="181"/>
      <c r="AV13" s="190"/>
      <c r="AW13" s="192"/>
      <c r="AX13" s="151"/>
      <c r="AY13" s="71" t="s">
        <v>172</v>
      </c>
      <c r="AZ13" s="106" t="s">
        <v>212</v>
      </c>
    </row>
    <row r="14" spans="1:53" s="26" customFormat="1" ht="141.75" customHeight="1" x14ac:dyDescent="0.25">
      <c r="A14" s="22" t="s">
        <v>33</v>
      </c>
      <c r="B14" s="22" t="s">
        <v>34</v>
      </c>
      <c r="C14" s="22" t="s">
        <v>76</v>
      </c>
      <c r="D14" s="23">
        <v>1049212</v>
      </c>
      <c r="E14" s="23">
        <v>83936.960000000006</v>
      </c>
      <c r="F14" s="165"/>
      <c r="G14" s="24" t="s">
        <v>85</v>
      </c>
      <c r="H14" s="22" t="s">
        <v>38</v>
      </c>
      <c r="I14" s="23">
        <v>28</v>
      </c>
      <c r="J14" s="22" t="s">
        <v>86</v>
      </c>
      <c r="K14" s="25">
        <v>18</v>
      </c>
      <c r="L14" s="25">
        <v>5</v>
      </c>
      <c r="M14" s="25">
        <v>11</v>
      </c>
      <c r="N14" s="38">
        <v>0</v>
      </c>
      <c r="O14" s="47">
        <f t="shared" si="0"/>
        <v>0</v>
      </c>
      <c r="P14" s="174"/>
      <c r="Q14" s="35">
        <f t="shared" si="1"/>
        <v>0</v>
      </c>
      <c r="R14" s="126">
        <v>1</v>
      </c>
      <c r="S14" s="83">
        <f t="shared" si="4"/>
        <v>0.2</v>
      </c>
      <c r="T14" s="198"/>
      <c r="U14" s="154"/>
      <c r="V14" s="152"/>
      <c r="W14" s="152"/>
      <c r="X14" s="152"/>
      <c r="Y14" s="153"/>
      <c r="Z14" s="150"/>
      <c r="AA14" s="153"/>
      <c r="AB14" s="25">
        <v>2500</v>
      </c>
      <c r="AC14" s="25">
        <v>2500</v>
      </c>
      <c r="AD14" s="52">
        <v>0</v>
      </c>
      <c r="AE14" s="53">
        <f>AD14/AB14</f>
        <v>0</v>
      </c>
      <c r="AF14" s="113">
        <v>1</v>
      </c>
      <c r="AG14" s="83">
        <f t="shared" si="3"/>
        <v>4.0000000000000002E-4</v>
      </c>
      <c r="AH14" s="152"/>
      <c r="AI14" s="152"/>
      <c r="AJ14" s="152"/>
      <c r="AK14" s="153"/>
      <c r="AL14" s="154"/>
      <c r="AM14" s="155"/>
      <c r="AN14" s="152"/>
      <c r="AO14" s="152"/>
      <c r="AP14" s="152"/>
      <c r="AQ14" s="150"/>
      <c r="AR14" s="131"/>
      <c r="AS14" s="136"/>
      <c r="AT14" s="130"/>
      <c r="AU14" s="181"/>
      <c r="AV14" s="191"/>
      <c r="AW14" s="180"/>
      <c r="AX14" s="151"/>
      <c r="AY14" s="71" t="s">
        <v>172</v>
      </c>
      <c r="AZ14" s="106" t="s">
        <v>213</v>
      </c>
      <c r="BA14" s="26" t="s">
        <v>170</v>
      </c>
    </row>
    <row r="15" spans="1:53" s="26" customFormat="1" ht="318" customHeight="1" x14ac:dyDescent="0.25">
      <c r="A15" s="22" t="s">
        <v>33</v>
      </c>
      <c r="B15" s="22" t="s">
        <v>34</v>
      </c>
      <c r="C15" s="22" t="s">
        <v>76</v>
      </c>
      <c r="D15" s="23">
        <v>1049212</v>
      </c>
      <c r="E15" s="23">
        <v>83936.960000000006</v>
      </c>
      <c r="F15" s="165" t="s">
        <v>87</v>
      </c>
      <c r="G15" s="24" t="s">
        <v>88</v>
      </c>
      <c r="H15" s="22" t="s">
        <v>38</v>
      </c>
      <c r="I15" s="23">
        <v>27432</v>
      </c>
      <c r="J15" s="22" t="s">
        <v>89</v>
      </c>
      <c r="K15" s="25">
        <v>24984.400000000001</v>
      </c>
      <c r="L15" s="25">
        <v>20000</v>
      </c>
      <c r="M15" s="25">
        <v>40195</v>
      </c>
      <c r="N15" s="27">
        <f>15+1268+488+107+234+1681+1023+166+1369+1005</f>
        <v>7356</v>
      </c>
      <c r="O15" s="47">
        <f t="shared" si="0"/>
        <v>0.36780000000000002</v>
      </c>
      <c r="P15" s="128">
        <f>+AVERAGE(O15:O17)</f>
        <v>0.1226</v>
      </c>
      <c r="Q15" s="35">
        <f t="shared" si="1"/>
        <v>0.29442372040153053</v>
      </c>
      <c r="R15" s="119">
        <f>15+1268+488+107+234+1681+1023+166+1369+1005+971+446+521+2545</f>
        <v>11839</v>
      </c>
      <c r="S15" s="83">
        <f t="shared" si="4"/>
        <v>0.59194999999999998</v>
      </c>
      <c r="T15" s="179">
        <f>+AVERAGE(S15:S17)</f>
        <v>0.19731666666666667</v>
      </c>
      <c r="U15" s="169" t="s">
        <v>90</v>
      </c>
      <c r="V15" s="164">
        <v>2021130010230</v>
      </c>
      <c r="W15" s="164" t="s">
        <v>91</v>
      </c>
      <c r="X15" s="164" t="s">
        <v>92</v>
      </c>
      <c r="Y15" s="147">
        <v>1612571163</v>
      </c>
      <c r="Z15" s="163">
        <v>44572</v>
      </c>
      <c r="AA15" s="147">
        <v>354</v>
      </c>
      <c r="AB15" s="25">
        <v>20000</v>
      </c>
      <c r="AC15" s="25">
        <v>20000</v>
      </c>
      <c r="AD15" s="54">
        <f>15+1268+488+107+234+1681+1023+166+1369+1005</f>
        <v>7356</v>
      </c>
      <c r="AE15" s="55">
        <f>AD15/L15</f>
        <v>0.36780000000000002</v>
      </c>
      <c r="AF15" s="100">
        <f>15+1268+488+107+234+1681+1023+166+1369+1005+971+446+521+2545</f>
        <v>11839</v>
      </c>
      <c r="AG15" s="89">
        <f t="shared" si="3"/>
        <v>0.59194999999999998</v>
      </c>
      <c r="AH15" s="164" t="s">
        <v>43</v>
      </c>
      <c r="AI15" s="164" t="s">
        <v>44</v>
      </c>
      <c r="AJ15" s="164" t="s">
        <v>45</v>
      </c>
      <c r="AK15" s="147">
        <v>1612571163</v>
      </c>
      <c r="AL15" s="167" t="s">
        <v>46</v>
      </c>
      <c r="AM15" s="171" t="s">
        <v>90</v>
      </c>
      <c r="AN15" s="164" t="s">
        <v>135</v>
      </c>
      <c r="AO15" s="164" t="s">
        <v>139</v>
      </c>
      <c r="AP15" s="164" t="s">
        <v>140</v>
      </c>
      <c r="AQ15" s="163">
        <v>44572</v>
      </c>
      <c r="AR15" s="137">
        <v>1612571163</v>
      </c>
      <c r="AS15" s="138">
        <v>640574112</v>
      </c>
      <c r="AT15" s="141">
        <f>AS15/AR15</f>
        <v>0.39723773232325871</v>
      </c>
      <c r="AU15" s="159">
        <v>1612571163</v>
      </c>
      <c r="AV15" s="160">
        <v>699894190.05999994</v>
      </c>
      <c r="AW15" s="186">
        <f>AV15/AU15</f>
        <v>0.43402375418764694</v>
      </c>
      <c r="AX15" s="170" t="s">
        <v>148</v>
      </c>
      <c r="AY15" s="75" t="s">
        <v>174</v>
      </c>
      <c r="AZ15" s="118" t="s">
        <v>210</v>
      </c>
    </row>
    <row r="16" spans="1:53" s="26" customFormat="1" ht="72" customHeight="1" x14ac:dyDescent="0.25">
      <c r="A16" s="22" t="s">
        <v>33</v>
      </c>
      <c r="B16" s="22" t="s">
        <v>34</v>
      </c>
      <c r="C16" s="22" t="s">
        <v>76</v>
      </c>
      <c r="D16" s="23">
        <v>1049212</v>
      </c>
      <c r="E16" s="23">
        <v>83936.960000000006</v>
      </c>
      <c r="F16" s="165"/>
      <c r="G16" s="24" t="s">
        <v>93</v>
      </c>
      <c r="H16" s="22" t="s">
        <v>38</v>
      </c>
      <c r="I16" s="23">
        <v>16428</v>
      </c>
      <c r="J16" s="22" t="s">
        <v>94</v>
      </c>
      <c r="K16" s="25">
        <v>22999.200000000001</v>
      </c>
      <c r="L16" s="25">
        <v>10000</v>
      </c>
      <c r="M16" s="25">
        <v>6783</v>
      </c>
      <c r="N16" s="38">
        <v>0</v>
      </c>
      <c r="O16" s="47">
        <f t="shared" si="0"/>
        <v>0</v>
      </c>
      <c r="P16" s="129"/>
      <c r="Q16" s="35">
        <f t="shared" si="1"/>
        <v>0</v>
      </c>
      <c r="R16" s="127">
        <v>0</v>
      </c>
      <c r="S16" s="83">
        <f t="shared" si="4"/>
        <v>0</v>
      </c>
      <c r="T16" s="192"/>
      <c r="U16" s="169"/>
      <c r="V16" s="164"/>
      <c r="W16" s="164"/>
      <c r="X16" s="164"/>
      <c r="Y16" s="147"/>
      <c r="Z16" s="163"/>
      <c r="AA16" s="147"/>
      <c r="AB16" s="25">
        <v>10000</v>
      </c>
      <c r="AC16" s="25">
        <v>10000</v>
      </c>
      <c r="AD16" s="52">
        <v>0</v>
      </c>
      <c r="AE16" s="55">
        <f>AD16/L16</f>
        <v>0</v>
      </c>
      <c r="AF16" s="113">
        <v>0</v>
      </c>
      <c r="AG16" s="89">
        <f t="shared" si="3"/>
        <v>0</v>
      </c>
      <c r="AH16" s="164"/>
      <c r="AI16" s="164"/>
      <c r="AJ16" s="164"/>
      <c r="AK16" s="147"/>
      <c r="AL16" s="167"/>
      <c r="AM16" s="171"/>
      <c r="AN16" s="164"/>
      <c r="AO16" s="164"/>
      <c r="AP16" s="164"/>
      <c r="AQ16" s="163"/>
      <c r="AR16" s="137"/>
      <c r="AS16" s="139"/>
      <c r="AT16" s="142"/>
      <c r="AU16" s="159"/>
      <c r="AV16" s="161"/>
      <c r="AW16" s="187"/>
      <c r="AX16" s="170"/>
      <c r="AY16" s="71" t="s">
        <v>175</v>
      </c>
      <c r="AZ16" s="103" t="s">
        <v>209</v>
      </c>
    </row>
    <row r="17" spans="1:53" s="26" customFormat="1" ht="60.75" customHeight="1" x14ac:dyDescent="0.25">
      <c r="A17" s="22" t="s">
        <v>33</v>
      </c>
      <c r="B17" s="22" t="s">
        <v>34</v>
      </c>
      <c r="C17" s="22" t="s">
        <v>76</v>
      </c>
      <c r="D17" s="23">
        <v>1049212</v>
      </c>
      <c r="E17" s="23">
        <v>83936.960000000006</v>
      </c>
      <c r="F17" s="165"/>
      <c r="G17" s="24" t="s">
        <v>95</v>
      </c>
      <c r="H17" s="22" t="s">
        <v>38</v>
      </c>
      <c r="I17" s="23">
        <v>16</v>
      </c>
      <c r="J17" s="22" t="s">
        <v>96</v>
      </c>
      <c r="K17" s="25">
        <v>17</v>
      </c>
      <c r="L17" s="25">
        <v>5</v>
      </c>
      <c r="M17" s="25">
        <v>9</v>
      </c>
      <c r="N17" s="38">
        <v>0</v>
      </c>
      <c r="O17" s="47">
        <f t="shared" si="0"/>
        <v>0</v>
      </c>
      <c r="P17" s="130"/>
      <c r="Q17" s="35">
        <f t="shared" si="1"/>
        <v>0</v>
      </c>
      <c r="R17" s="127">
        <v>0</v>
      </c>
      <c r="S17" s="83">
        <f t="shared" si="4"/>
        <v>0</v>
      </c>
      <c r="T17" s="180"/>
      <c r="U17" s="169"/>
      <c r="V17" s="164"/>
      <c r="W17" s="164"/>
      <c r="X17" s="164"/>
      <c r="Y17" s="147"/>
      <c r="Z17" s="163"/>
      <c r="AA17" s="147"/>
      <c r="AB17" s="25">
        <v>10000</v>
      </c>
      <c r="AC17" s="25">
        <v>10000</v>
      </c>
      <c r="AD17" s="52">
        <v>0</v>
      </c>
      <c r="AE17" s="55">
        <f>AD17/AB17</f>
        <v>0</v>
      </c>
      <c r="AF17" s="113">
        <v>0</v>
      </c>
      <c r="AG17" s="89">
        <f t="shared" si="3"/>
        <v>0</v>
      </c>
      <c r="AH17" s="164"/>
      <c r="AI17" s="164"/>
      <c r="AJ17" s="164"/>
      <c r="AK17" s="147"/>
      <c r="AL17" s="167"/>
      <c r="AM17" s="171"/>
      <c r="AN17" s="164"/>
      <c r="AO17" s="164"/>
      <c r="AP17" s="164"/>
      <c r="AQ17" s="163"/>
      <c r="AR17" s="137"/>
      <c r="AS17" s="140"/>
      <c r="AT17" s="143"/>
      <c r="AU17" s="159"/>
      <c r="AV17" s="162"/>
      <c r="AW17" s="188"/>
      <c r="AX17" s="170"/>
      <c r="AY17" s="74" t="s">
        <v>175</v>
      </c>
      <c r="AZ17" s="106" t="s">
        <v>209</v>
      </c>
    </row>
    <row r="18" spans="1:53" s="26" customFormat="1" ht="108" hidden="1" customHeight="1" x14ac:dyDescent="0.25">
      <c r="A18" s="22" t="s">
        <v>33</v>
      </c>
      <c r="B18" s="22" t="s">
        <v>34</v>
      </c>
      <c r="C18" s="22" t="s">
        <v>35</v>
      </c>
      <c r="D18" s="23">
        <v>1049212</v>
      </c>
      <c r="E18" s="23">
        <v>136397.56</v>
      </c>
      <c r="F18" s="165" t="s">
        <v>97</v>
      </c>
      <c r="G18" s="24" t="s">
        <v>98</v>
      </c>
      <c r="H18" s="22" t="s">
        <v>38</v>
      </c>
      <c r="I18" s="23">
        <v>0</v>
      </c>
      <c r="J18" s="22" t="s">
        <v>99</v>
      </c>
      <c r="K18" s="25">
        <v>4</v>
      </c>
      <c r="L18" s="25">
        <v>1</v>
      </c>
      <c r="M18" s="25">
        <v>3</v>
      </c>
      <c r="N18" s="38">
        <v>0</v>
      </c>
      <c r="O18" s="47">
        <f t="shared" si="0"/>
        <v>0</v>
      </c>
      <c r="P18" s="128">
        <f>+AVERAGE(O18:O22)</f>
        <v>0</v>
      </c>
      <c r="Q18" s="35">
        <f t="shared" si="1"/>
        <v>0</v>
      </c>
      <c r="R18" s="126">
        <v>0</v>
      </c>
      <c r="S18" s="83"/>
      <c r="T18" s="83"/>
      <c r="U18" s="168" t="s">
        <v>100</v>
      </c>
      <c r="V18" s="145">
        <v>2021130010270</v>
      </c>
      <c r="W18" s="145" t="s">
        <v>101</v>
      </c>
      <c r="X18" s="145" t="s">
        <v>102</v>
      </c>
      <c r="Y18" s="147">
        <v>645433145</v>
      </c>
      <c r="Z18" s="149">
        <v>44572</v>
      </c>
      <c r="AA18" s="147">
        <v>354</v>
      </c>
      <c r="AB18" s="25" t="s">
        <v>103</v>
      </c>
      <c r="AC18" s="25" t="s">
        <v>103</v>
      </c>
      <c r="AD18" s="54" t="s">
        <v>103</v>
      </c>
      <c r="AE18" s="55" t="s">
        <v>103</v>
      </c>
      <c r="AF18" s="100" t="s">
        <v>103</v>
      </c>
      <c r="AG18" s="89"/>
      <c r="AH18" s="145" t="s">
        <v>43</v>
      </c>
      <c r="AI18" s="145" t="s">
        <v>44</v>
      </c>
      <c r="AJ18" s="145" t="s">
        <v>45</v>
      </c>
      <c r="AK18" s="147">
        <v>645433145</v>
      </c>
      <c r="AL18" s="167" t="s">
        <v>46</v>
      </c>
      <c r="AM18" s="157" t="s">
        <v>100</v>
      </c>
      <c r="AN18" s="145" t="s">
        <v>136</v>
      </c>
      <c r="AO18" s="145" t="s">
        <v>139</v>
      </c>
      <c r="AP18" s="145" t="s">
        <v>140</v>
      </c>
      <c r="AQ18" s="149">
        <v>44572</v>
      </c>
      <c r="AR18" s="137">
        <v>645433145</v>
      </c>
      <c r="AS18" s="138">
        <v>185920000</v>
      </c>
      <c r="AT18" s="141">
        <f>AS18/AR18</f>
        <v>0.28805462105606616</v>
      </c>
      <c r="AU18" s="159">
        <v>645433145</v>
      </c>
      <c r="AV18" s="160">
        <v>185920000</v>
      </c>
      <c r="AW18" s="186">
        <f>AV18/AU18</f>
        <v>0.28805462105606616</v>
      </c>
      <c r="AX18" s="156" t="s">
        <v>150</v>
      </c>
      <c r="AY18" s="76"/>
      <c r="AZ18" s="107"/>
    </row>
    <row r="19" spans="1:53" s="26" customFormat="1" ht="55.5" customHeight="1" x14ac:dyDescent="0.25">
      <c r="A19" s="22" t="s">
        <v>33</v>
      </c>
      <c r="B19" s="22" t="s">
        <v>34</v>
      </c>
      <c r="C19" s="22" t="s">
        <v>35</v>
      </c>
      <c r="D19" s="23">
        <v>1049212</v>
      </c>
      <c r="E19" s="23">
        <v>136397.56</v>
      </c>
      <c r="F19" s="165"/>
      <c r="G19" s="24" t="s">
        <v>104</v>
      </c>
      <c r="H19" s="22" t="s">
        <v>38</v>
      </c>
      <c r="I19" s="23">
        <v>11147</v>
      </c>
      <c r="J19" s="22" t="s">
        <v>105</v>
      </c>
      <c r="K19" s="25">
        <v>16720</v>
      </c>
      <c r="L19" s="25">
        <v>4000</v>
      </c>
      <c r="M19" s="25">
        <v>14412</v>
      </c>
      <c r="N19" s="38">
        <v>0</v>
      </c>
      <c r="O19" s="47">
        <f t="shared" si="0"/>
        <v>0</v>
      </c>
      <c r="P19" s="129"/>
      <c r="Q19" s="35">
        <f t="shared" si="1"/>
        <v>0</v>
      </c>
      <c r="R19" s="127">
        <v>0</v>
      </c>
      <c r="S19" s="83">
        <f t="shared" ref="S19:S27" si="5">R19/L19</f>
        <v>0</v>
      </c>
      <c r="T19" s="193">
        <v>0</v>
      </c>
      <c r="U19" s="168"/>
      <c r="V19" s="145"/>
      <c r="W19" s="145"/>
      <c r="X19" s="145"/>
      <c r="Y19" s="147"/>
      <c r="Z19" s="149"/>
      <c r="AA19" s="147"/>
      <c r="AB19" s="25">
        <v>4000</v>
      </c>
      <c r="AC19" s="25">
        <v>4000</v>
      </c>
      <c r="AD19" s="52">
        <v>0</v>
      </c>
      <c r="AE19" s="55">
        <f>AD19/L19</f>
        <v>0</v>
      </c>
      <c r="AF19" s="113">
        <v>0</v>
      </c>
      <c r="AG19" s="89">
        <f>AF19/AB19</f>
        <v>0</v>
      </c>
      <c r="AH19" s="145"/>
      <c r="AI19" s="145"/>
      <c r="AJ19" s="145"/>
      <c r="AK19" s="147"/>
      <c r="AL19" s="167"/>
      <c r="AM19" s="157"/>
      <c r="AN19" s="145"/>
      <c r="AO19" s="145"/>
      <c r="AP19" s="145"/>
      <c r="AQ19" s="149"/>
      <c r="AR19" s="137"/>
      <c r="AS19" s="139"/>
      <c r="AT19" s="142"/>
      <c r="AU19" s="159"/>
      <c r="AV19" s="161"/>
      <c r="AW19" s="187"/>
      <c r="AX19" s="156"/>
      <c r="AY19" s="79" t="s">
        <v>183</v>
      </c>
      <c r="AZ19" s="125" t="s">
        <v>218</v>
      </c>
      <c r="BA19" s="26" t="s">
        <v>180</v>
      </c>
    </row>
    <row r="20" spans="1:53" s="26" customFormat="1" ht="126" x14ac:dyDescent="0.25">
      <c r="A20" s="22" t="s">
        <v>33</v>
      </c>
      <c r="B20" s="22" t="s">
        <v>34</v>
      </c>
      <c r="C20" s="22" t="s">
        <v>35</v>
      </c>
      <c r="D20" s="23">
        <v>1049212</v>
      </c>
      <c r="E20" s="23">
        <v>136397.56</v>
      </c>
      <c r="F20" s="165"/>
      <c r="G20" s="24" t="s">
        <v>106</v>
      </c>
      <c r="H20" s="22" t="s">
        <v>38</v>
      </c>
      <c r="I20" s="23">
        <v>0</v>
      </c>
      <c r="J20" s="22" t="s">
        <v>107</v>
      </c>
      <c r="K20" s="25">
        <v>10</v>
      </c>
      <c r="L20" s="25">
        <v>4</v>
      </c>
      <c r="M20" s="25">
        <v>0</v>
      </c>
      <c r="N20" s="38">
        <v>0</v>
      </c>
      <c r="O20" s="47">
        <f t="shared" si="0"/>
        <v>0</v>
      </c>
      <c r="P20" s="129"/>
      <c r="Q20" s="35">
        <f t="shared" si="1"/>
        <v>0</v>
      </c>
      <c r="R20" s="127">
        <v>0</v>
      </c>
      <c r="S20" s="83">
        <f t="shared" si="5"/>
        <v>0</v>
      </c>
      <c r="T20" s="194"/>
      <c r="U20" s="168"/>
      <c r="V20" s="145"/>
      <c r="W20" s="145"/>
      <c r="X20" s="145"/>
      <c r="Y20" s="147"/>
      <c r="Z20" s="149"/>
      <c r="AA20" s="147"/>
      <c r="AB20" s="25" t="s">
        <v>103</v>
      </c>
      <c r="AC20" s="25" t="s">
        <v>103</v>
      </c>
      <c r="AD20" s="54" t="s">
        <v>103</v>
      </c>
      <c r="AE20" s="55" t="s">
        <v>103</v>
      </c>
      <c r="AF20" s="120" t="s">
        <v>103</v>
      </c>
      <c r="AG20" s="89" t="s">
        <v>103</v>
      </c>
      <c r="AH20" s="145"/>
      <c r="AI20" s="145"/>
      <c r="AJ20" s="145"/>
      <c r="AK20" s="147"/>
      <c r="AL20" s="167"/>
      <c r="AM20" s="157"/>
      <c r="AN20" s="145"/>
      <c r="AO20" s="145"/>
      <c r="AP20" s="145"/>
      <c r="AQ20" s="149"/>
      <c r="AR20" s="137"/>
      <c r="AS20" s="139"/>
      <c r="AT20" s="142"/>
      <c r="AU20" s="159"/>
      <c r="AV20" s="161"/>
      <c r="AW20" s="187"/>
      <c r="AX20" s="156"/>
      <c r="AY20" s="77" t="s">
        <v>179</v>
      </c>
      <c r="AZ20" s="124" t="s">
        <v>217</v>
      </c>
    </row>
    <row r="21" spans="1:53" s="26" customFormat="1" ht="324" x14ac:dyDescent="0.25">
      <c r="A21" s="22" t="s">
        <v>33</v>
      </c>
      <c r="B21" s="22" t="s">
        <v>34</v>
      </c>
      <c r="C21" s="22" t="s">
        <v>35</v>
      </c>
      <c r="D21" s="23">
        <v>1049212</v>
      </c>
      <c r="E21" s="23">
        <v>136397.56</v>
      </c>
      <c r="F21" s="165"/>
      <c r="G21" s="24" t="s">
        <v>108</v>
      </c>
      <c r="H21" s="22" t="s">
        <v>38</v>
      </c>
      <c r="I21" s="23">
        <v>0</v>
      </c>
      <c r="J21" s="22" t="s">
        <v>109</v>
      </c>
      <c r="K21" s="25">
        <v>1</v>
      </c>
      <c r="L21" s="25">
        <v>1</v>
      </c>
      <c r="M21" s="25">
        <v>1</v>
      </c>
      <c r="N21" s="38">
        <v>0</v>
      </c>
      <c r="O21" s="47">
        <f t="shared" si="0"/>
        <v>0</v>
      </c>
      <c r="P21" s="129"/>
      <c r="Q21" s="35">
        <f t="shared" si="1"/>
        <v>0</v>
      </c>
      <c r="R21" s="127">
        <v>0</v>
      </c>
      <c r="S21" s="83">
        <f t="shared" si="5"/>
        <v>0</v>
      </c>
      <c r="T21" s="194"/>
      <c r="U21" s="168"/>
      <c r="V21" s="145"/>
      <c r="W21" s="145"/>
      <c r="X21" s="145"/>
      <c r="Y21" s="147"/>
      <c r="Z21" s="149"/>
      <c r="AA21" s="147"/>
      <c r="AB21" s="25" t="s">
        <v>103</v>
      </c>
      <c r="AC21" s="25" t="s">
        <v>103</v>
      </c>
      <c r="AD21" s="54" t="s">
        <v>103</v>
      </c>
      <c r="AE21" s="55" t="s">
        <v>103</v>
      </c>
      <c r="AF21" s="120" t="s">
        <v>103</v>
      </c>
      <c r="AG21" s="89" t="s">
        <v>103</v>
      </c>
      <c r="AH21" s="145"/>
      <c r="AI21" s="145"/>
      <c r="AJ21" s="145"/>
      <c r="AK21" s="147"/>
      <c r="AL21" s="167"/>
      <c r="AM21" s="157"/>
      <c r="AN21" s="145"/>
      <c r="AO21" s="145"/>
      <c r="AP21" s="145"/>
      <c r="AQ21" s="149"/>
      <c r="AR21" s="137"/>
      <c r="AS21" s="139"/>
      <c r="AT21" s="142"/>
      <c r="AU21" s="159"/>
      <c r="AV21" s="161"/>
      <c r="AW21" s="187"/>
      <c r="AX21" s="156"/>
      <c r="AY21" s="79" t="s">
        <v>181</v>
      </c>
      <c r="AZ21" s="125" t="s">
        <v>221</v>
      </c>
    </row>
    <row r="22" spans="1:53" s="26" customFormat="1" ht="90" customHeight="1" x14ac:dyDescent="0.25">
      <c r="A22" s="22" t="s">
        <v>33</v>
      </c>
      <c r="B22" s="22" t="s">
        <v>34</v>
      </c>
      <c r="C22" s="22" t="s">
        <v>35</v>
      </c>
      <c r="D22" s="23">
        <v>1049212</v>
      </c>
      <c r="E22" s="23">
        <v>136397.56</v>
      </c>
      <c r="F22" s="165"/>
      <c r="G22" s="24" t="s">
        <v>110</v>
      </c>
      <c r="H22" s="22" t="s">
        <v>38</v>
      </c>
      <c r="I22" s="23">
        <v>4</v>
      </c>
      <c r="J22" s="22" t="s">
        <v>111</v>
      </c>
      <c r="K22" s="25">
        <v>10</v>
      </c>
      <c r="L22" s="25">
        <v>3</v>
      </c>
      <c r="M22" s="25">
        <v>3.85</v>
      </c>
      <c r="N22" s="38">
        <v>0</v>
      </c>
      <c r="O22" s="47">
        <f t="shared" si="0"/>
        <v>0</v>
      </c>
      <c r="P22" s="129"/>
      <c r="Q22" s="35">
        <f t="shared" si="1"/>
        <v>0</v>
      </c>
      <c r="R22" s="127">
        <v>0</v>
      </c>
      <c r="S22" s="83">
        <f t="shared" si="5"/>
        <v>0</v>
      </c>
      <c r="T22" s="194"/>
      <c r="U22" s="168"/>
      <c r="V22" s="145"/>
      <c r="W22" s="145"/>
      <c r="X22" s="145"/>
      <c r="Y22" s="147"/>
      <c r="Z22" s="149"/>
      <c r="AA22" s="147"/>
      <c r="AB22" s="33" t="s">
        <v>103</v>
      </c>
      <c r="AC22" s="33" t="s">
        <v>103</v>
      </c>
      <c r="AD22" s="54" t="s">
        <v>103</v>
      </c>
      <c r="AE22" s="55" t="s">
        <v>103</v>
      </c>
      <c r="AF22" s="120" t="s">
        <v>103</v>
      </c>
      <c r="AG22" s="89" t="s">
        <v>196</v>
      </c>
      <c r="AH22" s="145"/>
      <c r="AI22" s="145"/>
      <c r="AJ22" s="145"/>
      <c r="AK22" s="147"/>
      <c r="AL22" s="167"/>
      <c r="AM22" s="157"/>
      <c r="AN22" s="145"/>
      <c r="AO22" s="145"/>
      <c r="AP22" s="145"/>
      <c r="AQ22" s="149"/>
      <c r="AR22" s="137"/>
      <c r="AS22" s="139"/>
      <c r="AT22" s="142"/>
      <c r="AU22" s="159"/>
      <c r="AV22" s="161"/>
      <c r="AW22" s="187"/>
      <c r="AX22" s="156"/>
      <c r="AY22" s="79" t="s">
        <v>177</v>
      </c>
      <c r="AZ22" s="125" t="s">
        <v>220</v>
      </c>
    </row>
    <row r="23" spans="1:53" s="26" customFormat="1" ht="72" x14ac:dyDescent="0.25">
      <c r="A23" s="22" t="s">
        <v>33</v>
      </c>
      <c r="B23" s="22" t="s">
        <v>34</v>
      </c>
      <c r="C23" s="22" t="s">
        <v>35</v>
      </c>
      <c r="D23" s="23">
        <v>1049212</v>
      </c>
      <c r="E23" s="23">
        <v>136397.56</v>
      </c>
      <c r="F23" s="165"/>
      <c r="G23" s="34" t="s">
        <v>144</v>
      </c>
      <c r="H23" s="22" t="s">
        <v>142</v>
      </c>
      <c r="I23" s="26">
        <v>7</v>
      </c>
      <c r="J23" s="22" t="s">
        <v>145</v>
      </c>
      <c r="K23" s="22">
        <v>48</v>
      </c>
      <c r="L23" s="22">
        <v>12</v>
      </c>
      <c r="M23" s="26">
        <v>24</v>
      </c>
      <c r="N23" s="22">
        <v>12</v>
      </c>
      <c r="O23" s="47">
        <f t="shared" si="0"/>
        <v>1</v>
      </c>
      <c r="P23" s="130"/>
      <c r="Q23" s="35">
        <f t="shared" si="1"/>
        <v>0.25</v>
      </c>
      <c r="R23" s="23">
        <v>12</v>
      </c>
      <c r="S23" s="83">
        <f t="shared" si="5"/>
        <v>1</v>
      </c>
      <c r="T23" s="195"/>
      <c r="U23" s="168"/>
      <c r="V23" s="145"/>
      <c r="W23" s="145"/>
      <c r="X23" s="145"/>
      <c r="Y23" s="148"/>
      <c r="Z23" s="149"/>
      <c r="AA23" s="147"/>
      <c r="AB23" s="25" t="s">
        <v>103</v>
      </c>
      <c r="AC23" s="25" t="s">
        <v>103</v>
      </c>
      <c r="AD23" s="54" t="s">
        <v>103</v>
      </c>
      <c r="AE23" s="55" t="s">
        <v>103</v>
      </c>
      <c r="AF23" s="120" t="s">
        <v>103</v>
      </c>
      <c r="AG23" s="89" t="s">
        <v>103</v>
      </c>
      <c r="AH23" s="145"/>
      <c r="AI23" s="145"/>
      <c r="AJ23" s="145"/>
      <c r="AK23" s="147"/>
      <c r="AL23" s="167"/>
      <c r="AM23" s="157"/>
      <c r="AN23" s="145"/>
      <c r="AO23" s="145"/>
      <c r="AP23" s="145"/>
      <c r="AQ23" s="158"/>
      <c r="AR23" s="137"/>
      <c r="AS23" s="140"/>
      <c r="AT23" s="143"/>
      <c r="AU23" s="159"/>
      <c r="AV23" s="162"/>
      <c r="AW23" s="188"/>
      <c r="AX23" s="156"/>
      <c r="AY23" s="78" t="s">
        <v>178</v>
      </c>
      <c r="AZ23" s="108" t="s">
        <v>219</v>
      </c>
    </row>
    <row r="24" spans="1:53" s="26" customFormat="1" ht="72" customHeight="1" x14ac:dyDescent="0.25">
      <c r="A24" s="22" t="s">
        <v>33</v>
      </c>
      <c r="B24" s="22" t="s">
        <v>34</v>
      </c>
      <c r="C24" s="22" t="s">
        <v>112</v>
      </c>
      <c r="D24" s="23">
        <v>1049212</v>
      </c>
      <c r="E24" s="23">
        <v>209842.40000000002</v>
      </c>
      <c r="F24" s="165" t="s">
        <v>113</v>
      </c>
      <c r="G24" s="24" t="s">
        <v>114</v>
      </c>
      <c r="H24" s="22" t="s">
        <v>38</v>
      </c>
      <c r="I24" s="23">
        <v>0</v>
      </c>
      <c r="J24" s="22" t="s">
        <v>115</v>
      </c>
      <c r="K24" s="25">
        <v>2400</v>
      </c>
      <c r="L24" s="25">
        <v>2400</v>
      </c>
      <c r="M24" s="25">
        <v>5199</v>
      </c>
      <c r="N24" s="80">
        <f>152+398</f>
        <v>550</v>
      </c>
      <c r="O24" s="47">
        <f t="shared" si="0"/>
        <v>0.22916666666666666</v>
      </c>
      <c r="P24" s="128">
        <f>(O24+O25+O26+O27)/4</f>
        <v>0.32066363224076527</v>
      </c>
      <c r="Q24" s="35">
        <f t="shared" si="1"/>
        <v>0.22916666666666666</v>
      </c>
      <c r="R24" s="119">
        <f>152+398+575</f>
        <v>1125</v>
      </c>
      <c r="S24" s="83">
        <f t="shared" si="5"/>
        <v>0.46875</v>
      </c>
      <c r="T24" s="179">
        <f>(S24+S25+S26+S27)/4</f>
        <v>0.39080526955995465</v>
      </c>
      <c r="U24" s="154" t="s">
        <v>116</v>
      </c>
      <c r="V24" s="152">
        <v>20200130010036</v>
      </c>
      <c r="W24" s="152" t="s">
        <v>117</v>
      </c>
      <c r="X24" s="146" t="s">
        <v>118</v>
      </c>
      <c r="Y24" s="153">
        <v>7096154124</v>
      </c>
      <c r="Z24" s="166">
        <v>44572</v>
      </c>
      <c r="AA24" s="153">
        <v>354</v>
      </c>
      <c r="AB24" s="25">
        <v>2400</v>
      </c>
      <c r="AC24" s="25">
        <v>2400</v>
      </c>
      <c r="AD24" s="52">
        <f>152 +398</f>
        <v>550</v>
      </c>
      <c r="AE24" s="53">
        <f>AD24/L24</f>
        <v>0.22916666666666666</v>
      </c>
      <c r="AF24" s="112">
        <f>152 +398+575</f>
        <v>1125</v>
      </c>
      <c r="AG24" s="83">
        <f>AF24/AB24</f>
        <v>0.46875</v>
      </c>
      <c r="AH24" s="152" t="s">
        <v>43</v>
      </c>
      <c r="AI24" s="152" t="s">
        <v>44</v>
      </c>
      <c r="AJ24" s="152" t="s">
        <v>45</v>
      </c>
      <c r="AK24" s="153">
        <v>7096154124</v>
      </c>
      <c r="AL24" s="154" t="s">
        <v>46</v>
      </c>
      <c r="AM24" s="155" t="s">
        <v>137</v>
      </c>
      <c r="AN24" s="152" t="s">
        <v>138</v>
      </c>
      <c r="AO24" s="152" t="s">
        <v>139</v>
      </c>
      <c r="AP24" s="146" t="s">
        <v>140</v>
      </c>
      <c r="AQ24" s="150">
        <v>44572</v>
      </c>
      <c r="AR24" s="144">
        <v>7096154124</v>
      </c>
      <c r="AS24" s="134">
        <v>2129694816</v>
      </c>
      <c r="AT24" s="128">
        <f>AS24/AR24</f>
        <v>0.300119582915643</v>
      </c>
      <c r="AU24" s="181">
        <v>7096154124</v>
      </c>
      <c r="AV24" s="189">
        <v>2365679194.04</v>
      </c>
      <c r="AW24" s="179">
        <f>AV24/AU24</f>
        <v>0.33337483271945911</v>
      </c>
      <c r="AX24" s="151" t="s">
        <v>182</v>
      </c>
      <c r="AY24" s="69" t="s">
        <v>187</v>
      </c>
      <c r="AZ24" s="123" t="s">
        <v>222</v>
      </c>
    </row>
    <row r="25" spans="1:53" s="26" customFormat="1" ht="72" x14ac:dyDescent="0.25">
      <c r="A25" s="22" t="s">
        <v>33</v>
      </c>
      <c r="B25" s="22" t="s">
        <v>34</v>
      </c>
      <c r="C25" s="22" t="s">
        <v>112</v>
      </c>
      <c r="D25" s="23">
        <v>1049212</v>
      </c>
      <c r="E25" s="23">
        <v>209842.40000000002</v>
      </c>
      <c r="F25" s="165"/>
      <c r="G25" s="24" t="s">
        <v>119</v>
      </c>
      <c r="H25" s="22" t="s">
        <v>38</v>
      </c>
      <c r="I25" s="23">
        <v>0</v>
      </c>
      <c r="J25" s="22" t="s">
        <v>120</v>
      </c>
      <c r="K25" s="25">
        <v>209842.40000000002</v>
      </c>
      <c r="L25" s="25">
        <v>209842</v>
      </c>
      <c r="M25" s="25">
        <v>251393</v>
      </c>
      <c r="N25" s="80">
        <f>4831+6393</f>
        <v>11224</v>
      </c>
      <c r="O25" s="47">
        <f t="shared" si="0"/>
        <v>5.3487862296394427E-2</v>
      </c>
      <c r="P25" s="129"/>
      <c r="Q25" s="35">
        <f t="shared" si="1"/>
        <v>5.3487760338234783E-2</v>
      </c>
      <c r="R25" s="119">
        <f>4831+6393+8600</f>
        <v>19824</v>
      </c>
      <c r="S25" s="83">
        <f t="shared" si="5"/>
        <v>9.4471078239818526E-2</v>
      </c>
      <c r="T25" s="192"/>
      <c r="U25" s="154"/>
      <c r="V25" s="152"/>
      <c r="W25" s="152"/>
      <c r="X25" s="146"/>
      <c r="Y25" s="153"/>
      <c r="Z25" s="166"/>
      <c r="AA25" s="153"/>
      <c r="AB25" s="25">
        <v>209842</v>
      </c>
      <c r="AC25" s="25">
        <v>209842</v>
      </c>
      <c r="AD25" s="81">
        <f>4831+6393</f>
        <v>11224</v>
      </c>
      <c r="AE25" s="53">
        <f t="shared" ref="AE25:AE27" si="6">AD25/L25</f>
        <v>5.3487862296394427E-2</v>
      </c>
      <c r="AF25" s="120">
        <f>4831+6393+8600</f>
        <v>19824</v>
      </c>
      <c r="AG25" s="83">
        <f>AF25/AB25</f>
        <v>9.4471078239818526E-2</v>
      </c>
      <c r="AH25" s="152"/>
      <c r="AI25" s="152"/>
      <c r="AJ25" s="152"/>
      <c r="AK25" s="153"/>
      <c r="AL25" s="154"/>
      <c r="AM25" s="155"/>
      <c r="AN25" s="152"/>
      <c r="AO25" s="152"/>
      <c r="AP25" s="146"/>
      <c r="AQ25" s="150"/>
      <c r="AR25" s="144"/>
      <c r="AS25" s="135"/>
      <c r="AT25" s="129"/>
      <c r="AU25" s="181"/>
      <c r="AV25" s="190"/>
      <c r="AW25" s="192"/>
      <c r="AX25" s="151"/>
      <c r="AY25" s="69" t="s">
        <v>188</v>
      </c>
      <c r="AZ25" s="123" t="s">
        <v>223</v>
      </c>
    </row>
    <row r="26" spans="1:53" s="26" customFormat="1" ht="324" x14ac:dyDescent="0.25">
      <c r="A26" s="22" t="s">
        <v>33</v>
      </c>
      <c r="B26" s="22" t="s">
        <v>34</v>
      </c>
      <c r="C26" s="22" t="s">
        <v>112</v>
      </c>
      <c r="D26" s="23">
        <v>1049212</v>
      </c>
      <c r="E26" s="23">
        <v>209842.40000000002</v>
      </c>
      <c r="F26" s="165"/>
      <c r="G26" s="24" t="s">
        <v>121</v>
      </c>
      <c r="H26" s="22" t="s">
        <v>38</v>
      </c>
      <c r="I26" s="23">
        <v>83</v>
      </c>
      <c r="J26" s="22" t="s">
        <v>122</v>
      </c>
      <c r="K26" s="25">
        <v>110</v>
      </c>
      <c r="L26" s="25">
        <v>101</v>
      </c>
      <c r="M26" s="25">
        <v>218</v>
      </c>
      <c r="N26" s="38">
        <f>48+38+46</f>
        <v>132</v>
      </c>
      <c r="O26" s="47">
        <v>1</v>
      </c>
      <c r="P26" s="129"/>
      <c r="Q26" s="35">
        <f t="shared" si="1"/>
        <v>1.2</v>
      </c>
      <c r="R26" s="126">
        <f>48+38+46+39</f>
        <v>171</v>
      </c>
      <c r="S26" s="83">
        <v>1</v>
      </c>
      <c r="T26" s="192"/>
      <c r="U26" s="154"/>
      <c r="V26" s="152"/>
      <c r="W26" s="152"/>
      <c r="X26" s="146"/>
      <c r="Y26" s="153"/>
      <c r="Z26" s="166"/>
      <c r="AA26" s="153"/>
      <c r="AB26" s="25">
        <v>101</v>
      </c>
      <c r="AC26" s="25">
        <v>101</v>
      </c>
      <c r="AD26" s="52">
        <f>48+38+46</f>
        <v>132</v>
      </c>
      <c r="AE26" s="53">
        <v>1</v>
      </c>
      <c r="AF26" s="113">
        <f>48+38+46+39</f>
        <v>171</v>
      </c>
      <c r="AG26" s="83">
        <f>AF26/AB26</f>
        <v>1.693069306930693</v>
      </c>
      <c r="AH26" s="152"/>
      <c r="AI26" s="152"/>
      <c r="AJ26" s="152"/>
      <c r="AK26" s="153"/>
      <c r="AL26" s="154"/>
      <c r="AM26" s="155"/>
      <c r="AN26" s="152"/>
      <c r="AO26" s="152"/>
      <c r="AP26" s="146"/>
      <c r="AQ26" s="150"/>
      <c r="AR26" s="144"/>
      <c r="AS26" s="135"/>
      <c r="AT26" s="129"/>
      <c r="AU26" s="181"/>
      <c r="AV26" s="190"/>
      <c r="AW26" s="192"/>
      <c r="AX26" s="151"/>
      <c r="AY26" s="69" t="s">
        <v>185</v>
      </c>
      <c r="AZ26" s="123" t="s">
        <v>216</v>
      </c>
    </row>
    <row r="27" spans="1:53" s="26" customFormat="1" ht="72" x14ac:dyDescent="0.25">
      <c r="A27" s="22" t="s">
        <v>33</v>
      </c>
      <c r="B27" s="22" t="s">
        <v>34</v>
      </c>
      <c r="C27" s="22" t="s">
        <v>112</v>
      </c>
      <c r="D27" s="23">
        <v>1049212</v>
      </c>
      <c r="E27" s="23">
        <v>209842.40000000002</v>
      </c>
      <c r="F27" s="165"/>
      <c r="G27" s="24" t="s">
        <v>123</v>
      </c>
      <c r="H27" s="22" t="s">
        <v>38</v>
      </c>
      <c r="I27" s="23">
        <v>9</v>
      </c>
      <c r="J27" s="22" t="s">
        <v>124</v>
      </c>
      <c r="K27" s="25">
        <v>10</v>
      </c>
      <c r="L27" s="25">
        <v>3</v>
      </c>
      <c r="M27" s="25">
        <v>5</v>
      </c>
      <c r="N27" s="38">
        <v>0</v>
      </c>
      <c r="O27" s="47">
        <f t="shared" si="0"/>
        <v>0</v>
      </c>
      <c r="P27" s="130"/>
      <c r="Q27" s="35">
        <f t="shared" si="1"/>
        <v>0</v>
      </c>
      <c r="R27" s="127">
        <v>0</v>
      </c>
      <c r="S27" s="83">
        <f t="shared" si="5"/>
        <v>0</v>
      </c>
      <c r="T27" s="180"/>
      <c r="U27" s="154"/>
      <c r="V27" s="152"/>
      <c r="W27" s="152"/>
      <c r="X27" s="146"/>
      <c r="Y27" s="153"/>
      <c r="Z27" s="166"/>
      <c r="AA27" s="153"/>
      <c r="AB27" s="25">
        <v>3</v>
      </c>
      <c r="AC27" s="25">
        <v>3</v>
      </c>
      <c r="AD27" s="52">
        <v>0</v>
      </c>
      <c r="AE27" s="53">
        <f t="shared" si="6"/>
        <v>0</v>
      </c>
      <c r="AF27" s="113">
        <v>0</v>
      </c>
      <c r="AG27" s="83">
        <f>AF27/AB27</f>
        <v>0</v>
      </c>
      <c r="AH27" s="152"/>
      <c r="AI27" s="152"/>
      <c r="AJ27" s="152"/>
      <c r="AK27" s="153"/>
      <c r="AL27" s="154"/>
      <c r="AM27" s="155"/>
      <c r="AN27" s="152"/>
      <c r="AO27" s="152"/>
      <c r="AP27" s="146"/>
      <c r="AQ27" s="150"/>
      <c r="AR27" s="144"/>
      <c r="AS27" s="136"/>
      <c r="AT27" s="130"/>
      <c r="AU27" s="181"/>
      <c r="AV27" s="191"/>
      <c r="AW27" s="180"/>
      <c r="AX27" s="151"/>
      <c r="AY27" s="82" t="s">
        <v>186</v>
      </c>
      <c r="AZ27" s="122" t="s">
        <v>224</v>
      </c>
    </row>
    <row r="28" spans="1:53" ht="90.75" customHeight="1" x14ac:dyDescent="0.25">
      <c r="O28" s="48" t="s">
        <v>192</v>
      </c>
      <c r="P28" s="49">
        <f>SUM(P3:P27)/9</f>
        <v>0.16377348083199542</v>
      </c>
      <c r="Q28" s="41">
        <f>SUM(Q3:Q27)/25</f>
        <v>0.20322446841349673</v>
      </c>
      <c r="R28" s="85"/>
      <c r="S28" s="110" t="s">
        <v>207</v>
      </c>
      <c r="T28" s="111">
        <f>SUM(T3:T27)/9</f>
        <v>0.27127474376252114</v>
      </c>
      <c r="U28" s="14" t="s">
        <v>154</v>
      </c>
      <c r="Y28" s="43"/>
      <c r="AD28" s="56" t="s">
        <v>194</v>
      </c>
      <c r="AE28" s="57">
        <f>SUM(AE3:AE27)/25</f>
        <v>0.17857190458818567</v>
      </c>
      <c r="AF28" s="93" t="s">
        <v>195</v>
      </c>
      <c r="AG28" s="90">
        <f>SUM(AG3:AG27)/25</f>
        <v>0.3372362820734871</v>
      </c>
      <c r="AK28" s="42"/>
      <c r="AQ28" s="116"/>
      <c r="AR28" s="117">
        <f>SUM(AR3:AR27)</f>
        <v>18911698415</v>
      </c>
      <c r="AS28" s="61">
        <f>SUM(AS3:AS27)</f>
        <v>6539759968</v>
      </c>
      <c r="AT28" s="62">
        <f>AS28/AR28</f>
        <v>0.3458050051608757</v>
      </c>
      <c r="AU28" s="95">
        <f>SUM(AU3:AU27)</f>
        <v>18911698415</v>
      </c>
      <c r="AV28" s="96">
        <f>SUM(AV3:AV27)</f>
        <v>6863691862.3399992</v>
      </c>
      <c r="AW28" s="97">
        <f>AV28/AU28</f>
        <v>0.3629336568150851</v>
      </c>
      <c r="AY28"/>
    </row>
    <row r="29" spans="1:53" x14ac:dyDescent="0.25">
      <c r="Q29" s="40" t="s">
        <v>153</v>
      </c>
      <c r="R29" s="84"/>
      <c r="S29" s="84"/>
      <c r="T29" s="84"/>
    </row>
    <row r="30" spans="1:53" x14ac:dyDescent="0.25">
      <c r="Z30" s="19"/>
    </row>
    <row r="31" spans="1:53" x14ac:dyDescent="0.25">
      <c r="Z31" s="20"/>
    </row>
  </sheetData>
  <sheetProtection algorithmName="SHA-512" hashValue="lJxLLC9od72N9x+6COZDFiHbBxpfWxZzGgge6/nO2hvtkUxzM7nMlmrfcko6hegqmuWJcMJYB3OuAcnVrKrRbQ==" saltValue="v26pjoaSORtlhKluhP3u1Q==" spinCount="100000" sheet="1" objects="1" scenarios="1"/>
  <mergeCells count="190">
    <mergeCell ref="P18:P23"/>
    <mergeCell ref="AW18:AW23"/>
    <mergeCell ref="AU24:AU27"/>
    <mergeCell ref="AV24:AV27"/>
    <mergeCell ref="AW24:AW27"/>
    <mergeCell ref="T3:T5"/>
    <mergeCell ref="T6:T9"/>
    <mergeCell ref="T10:T11"/>
    <mergeCell ref="T15:T17"/>
    <mergeCell ref="T19:T23"/>
    <mergeCell ref="T24:T27"/>
    <mergeCell ref="T12:T14"/>
    <mergeCell ref="AV6:AV9"/>
    <mergeCell ref="AW6:AW9"/>
    <mergeCell ref="AU10:AU11"/>
    <mergeCell ref="AV10:AV11"/>
    <mergeCell ref="AW10:AW11"/>
    <mergeCell ref="AU12:AU14"/>
    <mergeCell ref="AV12:AV14"/>
    <mergeCell ref="AW12:AW14"/>
    <mergeCell ref="AU15:AU17"/>
    <mergeCell ref="AV15:AV17"/>
    <mergeCell ref="AW15:AW17"/>
    <mergeCell ref="P10:P11"/>
    <mergeCell ref="E1:AI1"/>
    <mergeCell ref="F3:F5"/>
    <mergeCell ref="U3:U4"/>
    <mergeCell ref="V3:V4"/>
    <mergeCell ref="W3:W4"/>
    <mergeCell ref="X3:X4"/>
    <mergeCell ref="Y3:Y4"/>
    <mergeCell ref="Z3:Z4"/>
    <mergeCell ref="AA3:AA4"/>
    <mergeCell ref="P3:P5"/>
    <mergeCell ref="AN3:AN4"/>
    <mergeCell ref="AO3:AO4"/>
    <mergeCell ref="AP3:AP4"/>
    <mergeCell ref="AQ3:AQ4"/>
    <mergeCell ref="AX3:AX4"/>
    <mergeCell ref="F6:F9"/>
    <mergeCell ref="U6:U9"/>
    <mergeCell ref="AQ10:AQ11"/>
    <mergeCell ref="V6:V9"/>
    <mergeCell ref="W6:W9"/>
    <mergeCell ref="X6:X9"/>
    <mergeCell ref="AH3:AH4"/>
    <mergeCell ref="AI3:AI4"/>
    <mergeCell ref="AJ3:AJ4"/>
    <mergeCell ref="AK3:AK4"/>
    <mergeCell ref="AL3:AL4"/>
    <mergeCell ref="AM3:AM4"/>
    <mergeCell ref="F10:F11"/>
    <mergeCell ref="AO6:AO9"/>
    <mergeCell ref="AV3:AV4"/>
    <mergeCell ref="AW3:AW4"/>
    <mergeCell ref="AU3:AU4"/>
    <mergeCell ref="AU6:AU9"/>
    <mergeCell ref="P12:P14"/>
    <mergeCell ref="P6:P9"/>
    <mergeCell ref="AP6:AP9"/>
    <mergeCell ref="AQ6:AQ9"/>
    <mergeCell ref="AX6:AX9"/>
    <mergeCell ref="AL6:AL9"/>
    <mergeCell ref="AM6:AM9"/>
    <mergeCell ref="AN6:AN9"/>
    <mergeCell ref="W10:W11"/>
    <mergeCell ref="X10:X11"/>
    <mergeCell ref="Y10:Y11"/>
    <mergeCell ref="Z10:Z11"/>
    <mergeCell ref="AJ6:AJ9"/>
    <mergeCell ref="AK6:AK9"/>
    <mergeCell ref="Y6:Y9"/>
    <mergeCell ref="Z6:Z9"/>
    <mergeCell ref="AA6:AA9"/>
    <mergeCell ref="AH6:AH9"/>
    <mergeCell ref="AI6:AI9"/>
    <mergeCell ref="AX10:AX11"/>
    <mergeCell ref="AM10:AM11"/>
    <mergeCell ref="AN10:AN11"/>
    <mergeCell ref="AO10:AO11"/>
    <mergeCell ref="AP10:AP11"/>
    <mergeCell ref="U12:U14"/>
    <mergeCell ref="V12:V14"/>
    <mergeCell ref="W12:W14"/>
    <mergeCell ref="X12:X14"/>
    <mergeCell ref="Y12:Y14"/>
    <mergeCell ref="Z12:Z14"/>
    <mergeCell ref="AA12:AA14"/>
    <mergeCell ref="AL10:AL11"/>
    <mergeCell ref="AA10:AA11"/>
    <mergeCell ref="AH10:AH11"/>
    <mergeCell ref="AI10:AI11"/>
    <mergeCell ref="AJ10:AJ11"/>
    <mergeCell ref="AK10:AK11"/>
    <mergeCell ref="U10:U11"/>
    <mergeCell ref="V10:V11"/>
    <mergeCell ref="AQ12:AQ14"/>
    <mergeCell ref="AX12:AX14"/>
    <mergeCell ref="F15:F17"/>
    <mergeCell ref="U15:U17"/>
    <mergeCell ref="V15:V17"/>
    <mergeCell ref="W15:W17"/>
    <mergeCell ref="X15:X17"/>
    <mergeCell ref="AH12:AH14"/>
    <mergeCell ref="AI12:AI14"/>
    <mergeCell ref="AJ12:AJ14"/>
    <mergeCell ref="AK12:AK14"/>
    <mergeCell ref="AL12:AL14"/>
    <mergeCell ref="AM12:AM14"/>
    <mergeCell ref="AP15:AP17"/>
    <mergeCell ref="AQ15:AQ17"/>
    <mergeCell ref="AX15:AX17"/>
    <mergeCell ref="AL15:AL17"/>
    <mergeCell ref="AM15:AM17"/>
    <mergeCell ref="AN15:AN17"/>
    <mergeCell ref="AO15:AO17"/>
    <mergeCell ref="F12:F14"/>
    <mergeCell ref="AJ15:AJ17"/>
    <mergeCell ref="AK15:AK17"/>
    <mergeCell ref="Y15:Y17"/>
    <mergeCell ref="Z15:Z17"/>
    <mergeCell ref="AA15:AA17"/>
    <mergeCell ref="AH15:AH17"/>
    <mergeCell ref="AI15:AI17"/>
    <mergeCell ref="AO12:AO14"/>
    <mergeCell ref="AP12:AP14"/>
    <mergeCell ref="AN12:AN14"/>
    <mergeCell ref="F24:F27"/>
    <mergeCell ref="U24:U27"/>
    <mergeCell ref="V24:V27"/>
    <mergeCell ref="W24:W27"/>
    <mergeCell ref="X24:X27"/>
    <mergeCell ref="Y24:Y27"/>
    <mergeCell ref="Z24:Z27"/>
    <mergeCell ref="AA24:AA27"/>
    <mergeCell ref="AL18:AL23"/>
    <mergeCell ref="AA18:AA23"/>
    <mergeCell ref="AH18:AH23"/>
    <mergeCell ref="AI18:AI23"/>
    <mergeCell ref="AJ18:AJ23"/>
    <mergeCell ref="AK18:AK23"/>
    <mergeCell ref="F18:F23"/>
    <mergeCell ref="U18:U23"/>
    <mergeCell ref="V18:V23"/>
    <mergeCell ref="AP24:AP27"/>
    <mergeCell ref="X18:X23"/>
    <mergeCell ref="Y18:Y23"/>
    <mergeCell ref="Z18:Z23"/>
    <mergeCell ref="AQ24:AQ27"/>
    <mergeCell ref="AX24:AX27"/>
    <mergeCell ref="AH24:AH27"/>
    <mergeCell ref="AI24:AI27"/>
    <mergeCell ref="AJ24:AJ27"/>
    <mergeCell ref="AK24:AK27"/>
    <mergeCell ref="AL24:AL27"/>
    <mergeCell ref="AM24:AM27"/>
    <mergeCell ref="AX18:AX23"/>
    <mergeCell ref="AM18:AM23"/>
    <mergeCell ref="AN18:AN23"/>
    <mergeCell ref="AO18:AO23"/>
    <mergeCell ref="AP18:AP23"/>
    <mergeCell ref="AQ18:AQ23"/>
    <mergeCell ref="AN24:AN27"/>
    <mergeCell ref="AO24:AO27"/>
    <mergeCell ref="AU18:AU23"/>
    <mergeCell ref="AV18:AV23"/>
    <mergeCell ref="P15:P17"/>
    <mergeCell ref="P24:P27"/>
    <mergeCell ref="AR3:AR4"/>
    <mergeCell ref="AS3:AS4"/>
    <mergeCell ref="AT3:AT4"/>
    <mergeCell ref="AR6:AR9"/>
    <mergeCell ref="AS6:AS9"/>
    <mergeCell ref="AT6:AT9"/>
    <mergeCell ref="AR10:AR11"/>
    <mergeCell ref="AS10:AS11"/>
    <mergeCell ref="AT10:AT11"/>
    <mergeCell ref="AR12:AR14"/>
    <mergeCell ref="AS12:AS14"/>
    <mergeCell ref="AT12:AT14"/>
    <mergeCell ref="AR15:AR17"/>
    <mergeCell ref="AS15:AS17"/>
    <mergeCell ref="AT15:AT17"/>
    <mergeCell ref="AR18:AR23"/>
    <mergeCell ref="AS18:AS23"/>
    <mergeCell ref="AT18:AT23"/>
    <mergeCell ref="AR24:AR27"/>
    <mergeCell ref="AS24:AS27"/>
    <mergeCell ref="W18:W23"/>
    <mergeCell ref="AT24:AT27"/>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2022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Elisa Katherine Barcenas Ascanio</dc:creator>
  <cp:lastModifiedBy>IPCC</cp:lastModifiedBy>
  <dcterms:created xsi:type="dcterms:W3CDTF">2022-01-26T19:40:02Z</dcterms:created>
  <dcterms:modified xsi:type="dcterms:W3CDTF">2022-04-13T18:48:33Z</dcterms:modified>
</cp:coreProperties>
</file>